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875" windowHeight="7575" activeTab="5"/>
  </bookViews>
  <sheets>
    <sheet name="limited memory" sheetId="1" r:id="rId1"/>
    <sheet name="project" sheetId="2" r:id="rId2"/>
    <sheet name="optimal rule" sheetId="3" r:id="rId3"/>
    <sheet name="simulation" sheetId="4" r:id="rId4"/>
    <sheet name="bandit" sheetId="5" r:id="rId5"/>
    <sheet name="dai" sheetId="6" r:id="rId6"/>
    <sheet name="rdeu" sheetId="7" r:id="rId7"/>
  </sheets>
  <definedNames>
    <definedName name="alpha_1">'dai'!$G$67</definedName>
    <definedName name="beta_1">'dai'!$H$67</definedName>
    <definedName name="dai_1">'dai'!$L$67</definedName>
    <definedName name="dai_table">'dai'!$B$55:$K$64</definedName>
    <definedName name="ost_1">'dai'!$N$67</definedName>
    <definedName name="ost_table">'dai'!$Q$55:$Z$64</definedName>
    <definedName name="table_information">'dai'!$N$54:$N$57</definedName>
  </definedNames>
  <calcPr fullCalcOnLoad="1"/>
</workbook>
</file>

<file path=xl/comments6.xml><?xml version="1.0" encoding="utf-8"?>
<comments xmlns="http://schemas.openxmlformats.org/spreadsheetml/2006/main">
  <authors>
    <author>Kenryo INDO</author>
  </authors>
  <commentList>
    <comment ref="D27" authorId="0">
      <text>
        <r>
          <rPr>
            <b/>
            <sz val="9"/>
            <rFont val="ＭＳ Ｐゴシック"/>
            <family val="3"/>
          </rPr>
          <t>Ｓｗｉｔｃｈ:
　１： variate α、２：variate β according to row labels of table．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<sst xmlns="http://schemas.openxmlformats.org/spreadsheetml/2006/main" count="321" uniqueCount="303">
  <si>
    <t>search model</t>
  </si>
  <si>
    <t>reference</t>
  </si>
  <si>
    <t>M. L. Weitzman(1979). Optimal search for the best alternative. Econometrica 47(3):641-654.</t>
  </si>
  <si>
    <t>project selection</t>
  </si>
  <si>
    <t>α</t>
  </si>
  <si>
    <t>ω</t>
  </si>
  <si>
    <t>project</t>
  </si>
  <si>
    <t>cost</t>
  </si>
  <si>
    <t>cost</t>
  </si>
  <si>
    <t>duration</t>
  </si>
  <si>
    <t>reward</t>
  </si>
  <si>
    <t>reward</t>
  </si>
  <si>
    <t>probability</t>
  </si>
  <si>
    <t>mean</t>
  </si>
  <si>
    <t>sd</t>
  </si>
  <si>
    <t>min</t>
  </si>
  <si>
    <t>interest rate</t>
  </si>
  <si>
    <t>αは仮にそれを実行しないのなら、代わりのωをしても、αをしたときよりもパフォーマンスが劣るという意味で「最適」。</t>
  </si>
  <si>
    <t>ポイント</t>
  </si>
  <si>
    <t>しかし、順番に試しても良いのであれば、最適な実行順序は必ずしも上の意味での「最適」を先にすることではない。</t>
  </si>
  <si>
    <t>実際、先にωを試せば、悪い結果が判明した後でそれより平均的にましなαを試すことができる。</t>
  </si>
  <si>
    <t>（Weitzmanのは式のミス？）</t>
  </si>
  <si>
    <t>Pandora's problem</t>
  </si>
  <si>
    <t>Box_i, i=1,2,…,n.</t>
  </si>
  <si>
    <t>reward x_i ～F_i(x_i)</t>
  </si>
  <si>
    <t>timing of resolution of uncertainty (i.e., delay of information) t_i , t_i =0</t>
  </si>
  <si>
    <t>choice at evey stage t  "open"(= stop) or "pass" (=continue search).</t>
  </si>
  <si>
    <t>examples</t>
  </si>
  <si>
    <t xml:space="preserve">reservation price z_i   s.t. </t>
  </si>
  <si>
    <t>example1.</t>
  </si>
  <si>
    <t>(7)</t>
  </si>
  <si>
    <t>(8)</t>
  </si>
  <si>
    <t>cases</t>
  </si>
  <si>
    <t>optimal search order</t>
  </si>
  <si>
    <t>constant net gain pR-c.</t>
  </si>
  <si>
    <t>|==&gt;</t>
  </si>
  <si>
    <t xml:space="preserve">smaller success prob. p_k first.  </t>
  </si>
  <si>
    <t>identical rewards R</t>
  </si>
  <si>
    <t>optimal location of hidden object.</t>
  </si>
  <si>
    <t>example2.</t>
  </si>
  <si>
    <t>"Gold mining problem" s.t. x_0,x_1,…=0, c_k=-G_k, beta_k=1-q_k, q_k is probability of break down of the mining machine.</t>
  </si>
  <si>
    <r>
      <t>selection rule:</t>
    </r>
    <r>
      <rPr>
        <sz val="11"/>
        <rFont val="ＭＳ Ｐゴシック"/>
        <family val="0"/>
      </rPr>
      <t xml:space="preserve">  If a box is to be opened, it should be that closed box with highest reservation price.</t>
    </r>
  </si>
  <si>
    <r>
      <t>stoppig rule:</t>
    </r>
    <r>
      <rPr>
        <sz val="11"/>
        <rFont val="ＭＳ Ｐゴシック"/>
        <family val="0"/>
      </rPr>
      <t xml:space="preserve"> Terminate search whenever the maximum sampled reward exceeds the reservation price of every closed box.</t>
    </r>
  </si>
  <si>
    <t>time</t>
  </si>
  <si>
    <t>probability</t>
  </si>
  <si>
    <t>choice</t>
  </si>
  <si>
    <t>exp. net gain</t>
  </si>
  <si>
    <t>real gain</t>
  </si>
  <si>
    <t>rand</t>
  </si>
  <si>
    <t>max sampled</t>
  </si>
  <si>
    <t>box1</t>
  </si>
  <si>
    <t>box2</t>
  </si>
  <si>
    <t>box3</t>
  </si>
  <si>
    <t>box4</t>
  </si>
  <si>
    <t>box5</t>
  </si>
  <si>
    <t>box6</t>
  </si>
  <si>
    <t>box7</t>
  </si>
  <si>
    <t>box8</t>
  </si>
  <si>
    <t>box9</t>
  </si>
  <si>
    <t>box10</t>
  </si>
  <si>
    <t>box11</t>
  </si>
  <si>
    <t>box12</t>
  </si>
  <si>
    <t>box13</t>
  </si>
  <si>
    <t>box14</t>
  </si>
  <si>
    <t>box15</t>
  </si>
  <si>
    <t>box16</t>
  </si>
  <si>
    <t>box17</t>
  </si>
  <si>
    <t>box18</t>
  </si>
  <si>
    <t>box19</t>
  </si>
  <si>
    <t>box20</t>
  </si>
  <si>
    <t>(z_i)  if closed, (-9) if opened.</t>
  </si>
  <si>
    <t>R_k</t>
  </si>
  <si>
    <t>c_k</t>
  </si>
  <si>
    <t>p_k</t>
  </si>
  <si>
    <t>RAND()</t>
  </si>
  <si>
    <t>reserv. Price</t>
  </si>
  <si>
    <t>alpha</t>
  </si>
  <si>
    <t>{0, R_i } rewards with success probability p_i, no discounting(=beta=1), and positive net gain p_iR_i-c_i.</t>
  </si>
  <si>
    <t>Rp-c</t>
  </si>
  <si>
    <t>(6)</t>
  </si>
  <si>
    <t>Rothschild(1974)</t>
  </si>
  <si>
    <t>payoff</t>
  </si>
  <si>
    <t>q_2</t>
  </si>
  <si>
    <t>q_1</t>
  </si>
  <si>
    <t>probability</t>
  </si>
  <si>
    <t>Π_1</t>
  </si>
  <si>
    <t>1-Π_1</t>
  </si>
  <si>
    <t>Ttrials</t>
  </si>
  <si>
    <t>T_1</t>
  </si>
  <si>
    <t>T_2</t>
  </si>
  <si>
    <t>N_1</t>
  </si>
  <si>
    <t>N_2</t>
  </si>
  <si>
    <t>Successes</t>
  </si>
  <si>
    <t>ρ_1</t>
  </si>
  <si>
    <t>ρ_2</t>
  </si>
  <si>
    <t>μ_1</t>
  </si>
  <si>
    <t>μ_２</t>
  </si>
  <si>
    <t>Sufficient Statistics for Π_1</t>
  </si>
  <si>
    <t>Basic Parameters</t>
  </si>
  <si>
    <t>if arm 1 played.</t>
  </si>
  <si>
    <t>Weitzman's pandora problem and its variations</t>
  </si>
  <si>
    <t>Optimal stopping and reservation prices:</t>
  </si>
  <si>
    <t>2 armed-bandit</t>
  </si>
  <si>
    <t>μ_1:=（μ_1+ρ_1)/(1+ρ_1)</t>
  </si>
  <si>
    <t>ρ_1:=ρ_1/(1+ρ_1)</t>
  </si>
  <si>
    <t>μ_1:=μ_1/(1+ρ_1)</t>
  </si>
  <si>
    <t>Updating</t>
  </si>
  <si>
    <t>arms</t>
  </si>
  <si>
    <t>ρ_k=1/(1+T_k)</t>
  </si>
  <si>
    <t>μ_k=N_k/(1+T_k)</t>
  </si>
  <si>
    <t>ρ_1:=ρ_1</t>
  </si>
  <si>
    <t>otherwise.</t>
  </si>
  <si>
    <t>similar result holds as for arm 2.</t>
  </si>
  <si>
    <t>if arm 1 was played and failed.</t>
  </si>
  <si>
    <t>if arm 1 was played and succeed.</t>
  </si>
  <si>
    <t>T_k--&gt;∞　|==&gt;　　μ_k＝N_k/T_k.</t>
  </si>
  <si>
    <t>Convergence in limit</t>
  </si>
  <si>
    <t>independent prior beliefs   g(π_1,π_2)=g_1(π_1)g_2(π_2)</t>
  </si>
  <si>
    <t>Above is not assumed in this paper.</t>
  </si>
  <si>
    <t xml:space="preserve">alternative assumption for prior :  (π_1,π_2) in (0,1)X(0,1) </t>
  </si>
  <si>
    <t>Auxiliary statistics(= "experience" (μ,ρ))</t>
  </si>
  <si>
    <t>posterior beliefs under experience  h(π_1,π_2,μ,ρ)</t>
  </si>
  <si>
    <t>prior beliefs  (density function)  g(π_1,π_2)</t>
  </si>
  <si>
    <t>T_k--&gt;∞　|==&gt;　　μ_k＝λ_k</t>
  </si>
  <si>
    <t>posterior mean  λ_k(μ,ρ)=∫∫h(π_1,π_2,μ,ρ)(dπ_1)(dπ_2)</t>
  </si>
  <si>
    <t>Theorem I.   0&lt;Π_1&lt;Π_2&lt;1  のとき、最適政策に従っていて、２を有限回しか選ばず、１を無限回選ぶことが正の確率で起きる。</t>
  </si>
  <si>
    <t>That is it is predicted that "eventually, the persistence in beliefs will occur."</t>
  </si>
  <si>
    <t>Gittins indices (DAI; Gittins and Jones(1974)'s dynamic allocation  index)</t>
  </si>
  <si>
    <t>Gittins and Jones's Dynamic Allocation Index (dai).</t>
  </si>
  <si>
    <t>Optimal rule:  各状態においてνを最大にするレバーｊを選ぶ。</t>
  </si>
  <si>
    <t>例えば、各レバーｊの成功確率θをBayes Ruleにしたがって推定する場合、Priorにベータ分布を仮定すると、</t>
  </si>
  <si>
    <t>Gittins(1979)は数値的にDAIを近似する方法として、停止時刻τを有界（τ≦T）としてDAIを求め、Tを増やして反復するアルゴリズムを提案した。</t>
  </si>
  <si>
    <r>
      <t>BETADIST</t>
    </r>
    <r>
      <rPr>
        <sz val="11"/>
        <rFont val="ＭＳ Ｐゴシック"/>
        <family val="0"/>
      </rPr>
      <t>(</t>
    </r>
    <r>
      <rPr>
        <b/>
        <i/>
        <sz val="11"/>
        <rFont val="ＭＳ Ｐゴシック"/>
        <family val="3"/>
      </rPr>
      <t>x</t>
    </r>
    <r>
      <rPr>
        <sz val="11"/>
        <rFont val="ＭＳ Ｐゴシック"/>
        <family val="0"/>
      </rPr>
      <t xml:space="preserve">, </t>
    </r>
    <r>
      <rPr>
        <b/>
        <i/>
        <sz val="11"/>
        <rFont val="ＭＳ Ｐゴシック"/>
        <family val="3"/>
      </rPr>
      <t>α</t>
    </r>
    <r>
      <rPr>
        <sz val="11"/>
        <rFont val="ＭＳ Ｐゴシック"/>
        <family val="0"/>
      </rPr>
      <t xml:space="preserve">, </t>
    </r>
    <r>
      <rPr>
        <b/>
        <i/>
        <sz val="11"/>
        <rFont val="ＭＳ Ｐゴシック"/>
        <family val="3"/>
      </rPr>
      <t>β</t>
    </r>
    <r>
      <rPr>
        <sz val="11"/>
        <rFont val="ＭＳ Ｐゴシック"/>
        <family val="0"/>
      </rPr>
      <t xml:space="preserve">, </t>
    </r>
    <r>
      <rPr>
        <b/>
        <i/>
        <sz val="11"/>
        <rFont val="ＭＳ Ｐゴシック"/>
        <family val="3"/>
      </rPr>
      <t>A</t>
    </r>
    <r>
      <rPr>
        <sz val="11"/>
        <rFont val="ＭＳ Ｐゴシック"/>
        <family val="0"/>
      </rPr>
      <t xml:space="preserve">, </t>
    </r>
    <r>
      <rPr>
        <b/>
        <i/>
        <sz val="11"/>
        <rFont val="ＭＳ Ｐゴシック"/>
        <family val="3"/>
      </rPr>
      <t>B</t>
    </r>
    <r>
      <rPr>
        <sz val="11"/>
        <rFont val="ＭＳ Ｐゴシック"/>
        <family val="0"/>
      </rPr>
      <t>)</t>
    </r>
  </si>
  <si>
    <r>
      <t>x</t>
    </r>
    <r>
      <rPr>
        <sz val="11"/>
        <rFont val="ＭＳ Ｐゴシック"/>
        <family val="0"/>
      </rPr>
      <t>   区間 A ～ B の範囲で、関数を使用して評価する瞬間を指定します。</t>
    </r>
  </si>
  <si>
    <r>
      <t>α</t>
    </r>
    <r>
      <rPr>
        <sz val="11"/>
        <rFont val="ＭＳ Ｐゴシック"/>
        <family val="0"/>
      </rPr>
      <t>   確率分布に対するパラメータを指定します。</t>
    </r>
  </si>
  <si>
    <r>
      <t>β</t>
    </r>
    <r>
      <rPr>
        <sz val="11"/>
        <rFont val="ＭＳ Ｐゴシック"/>
        <family val="0"/>
      </rPr>
      <t>   確率分布に対するパラメータを指定します。</t>
    </r>
  </si>
  <si>
    <r>
      <t>B</t>
    </r>
    <r>
      <rPr>
        <b/>
        <sz val="11"/>
        <rFont val="ＭＳ Ｐゴシック"/>
        <family val="0"/>
      </rPr>
      <t xml:space="preserve">   </t>
    </r>
    <r>
      <rPr>
        <b/>
        <i/>
        <sz val="11"/>
        <rFont val="ＭＳ Ｐゴシック"/>
        <family val="3"/>
      </rPr>
      <t>x</t>
    </r>
    <r>
      <rPr>
        <sz val="11"/>
        <rFont val="ＭＳ Ｐゴシック"/>
        <family val="0"/>
      </rPr>
      <t xml:space="preserve"> の区間の上限を指定します。この引数は省略することができます。(default B=1)</t>
    </r>
  </si>
  <si>
    <r>
      <t>A</t>
    </r>
    <r>
      <rPr>
        <b/>
        <sz val="11"/>
        <rFont val="ＭＳ Ｐゴシック"/>
        <family val="0"/>
      </rPr>
      <t xml:space="preserve">   </t>
    </r>
    <r>
      <rPr>
        <b/>
        <i/>
        <sz val="11"/>
        <rFont val="ＭＳ Ｐゴシック"/>
        <family val="3"/>
      </rPr>
      <t>x</t>
    </r>
    <r>
      <rPr>
        <sz val="11"/>
        <rFont val="ＭＳ Ｐゴシック"/>
        <family val="0"/>
      </rPr>
      <t xml:space="preserve"> の区間の下限を指定します。この引数は省略することができます。(default A=0)</t>
    </r>
  </si>
  <si>
    <t>β＼α</t>
  </si>
  <si>
    <t>ｘ＝</t>
  </si>
  <si>
    <t>a＝</t>
  </si>
  <si>
    <t>以下ではユニット報酬を仮定してGittins and Jones(1979)の数値例を検証する。</t>
  </si>
  <si>
    <t xml:space="preserve"> a^t</t>
  </si>
  <si>
    <t>trials</t>
  </si>
  <si>
    <t>disount</t>
  </si>
  <si>
    <t>最適停止時間の集合は｛（γ,δ）｜γ＋δ＝α＋β＋ｔ｝（ｔ＝１,…）に含まれているはずである。</t>
  </si>
  <si>
    <t>そこでR_t,jをレバーj のτｊ回試行の割引総成功報酬（ETDR)、定数aはその割引因子とすると、</t>
  </si>
  <si>
    <t>Gittinsの動的配分指標（DAI)は以下のよう書ける。</t>
  </si>
  <si>
    <t>α</t>
  </si>
  <si>
    <t>β</t>
  </si>
  <si>
    <t>θ</t>
  </si>
  <si>
    <t>dai</t>
  </si>
  <si>
    <t>Simulation</t>
  </si>
  <si>
    <t>a</t>
  </si>
  <si>
    <t>DAI values estimated by simulation</t>
  </si>
  <si>
    <t>α</t>
  </si>
  <si>
    <t>β</t>
  </si>
  <si>
    <t>Beta distribution (cumulative) and graph</t>
  </si>
  <si>
    <t>Beta distributions (cumulative) as for fixed x</t>
  </si>
  <si>
    <t>W_t</t>
  </si>
  <si>
    <t>R_t/W_t</t>
  </si>
  <si>
    <t>Sup</t>
  </si>
  <si>
    <t>τ（t or T)</t>
  </si>
  <si>
    <t>Σa^t</t>
  </si>
  <si>
    <t>r_t*a^t</t>
  </si>
  <si>
    <t>←Choice of Columns(1:α or 2:β)</t>
  </si>
  <si>
    <t>&lt;=default</t>
  </si>
  <si>
    <t>row</t>
  </si>
  <si>
    <t>col</t>
  </si>
  <si>
    <t>width</t>
  </si>
  <si>
    <t>height</t>
  </si>
  <si>
    <t>table information</t>
  </si>
  <si>
    <t>ν</t>
  </si>
  <si>
    <t>r_t(=E(gain))</t>
  </si>
  <si>
    <t>α_t</t>
  </si>
  <si>
    <t>β_t</t>
  </si>
  <si>
    <t>av. Success</t>
  </si>
  <si>
    <t>estim. Av.</t>
  </si>
  <si>
    <t>ただしr(t,u) はｔ期の行動uの下での報酬とする。</t>
  </si>
  <si>
    <t>Boundary of dai: mean of prior =&lt; dai =&lt; mean + sd*a/(1-a)   (Brezzi &amp; Lai, 2000. Econometrica 68(6):1511-1516.)</t>
  </si>
  <si>
    <t>Brezzi &amp; Lai's bound</t>
  </si>
  <si>
    <t>β分布のSDは？</t>
  </si>
  <si>
    <t>R_t</t>
  </si>
  <si>
    <t>ＥΣa^t</t>
  </si>
  <si>
    <t>ＥΣr_t*a^t</t>
  </si>
  <si>
    <t>optimal stop</t>
  </si>
  <si>
    <t>Optimal Stopping Times</t>
  </si>
  <si>
    <t>end T</t>
  </si>
  <si>
    <t>RDEU search by Karni and Safra(1990).  JET 51:391--402.</t>
  </si>
  <si>
    <t>def</t>
  </si>
  <si>
    <t xml:space="preserve">For all j =0, …, n-1, s.t. s_j  (x) = IF(x&gt;v_{n-j}, 1, IF(x&lt;v_{n-j},0, RAND())), there exists an n-tuple (v_n,…,v_1), v_1=&lt;…=&lt;v_n, and </t>
  </si>
  <si>
    <t>example</t>
  </si>
  <si>
    <t xml:space="preserve">behaviorally consistent optimal stopping rule s_j (x), s_j (x) is the probability that agent j  accepts the outcome x. </t>
  </si>
  <si>
    <t>node</t>
  </si>
  <si>
    <t>accept</t>
  </si>
  <si>
    <t>continue</t>
  </si>
  <si>
    <t>x_2</t>
  </si>
  <si>
    <t>x_2</t>
  </si>
  <si>
    <t>L_2^*</t>
  </si>
  <si>
    <t>x_1</t>
  </si>
  <si>
    <t>x_3</t>
  </si>
  <si>
    <t>L_1</t>
  </si>
  <si>
    <t>optimal</t>
  </si>
  <si>
    <t>V(accept,2)= V((L_1)/3+(delta_{x_2})/3+(delta_{x_3})/3)</t>
  </si>
  <si>
    <t>V(continue,2)= V((L_1)*(2/3)+(delta_{x_2})/3+(delta_{x_3})/3)</t>
  </si>
  <si>
    <t>argmaxV(_,2)</t>
  </si>
  <si>
    <t>prob. s</t>
  </si>
  <si>
    <t>EU-maximizers search :</t>
  </si>
  <si>
    <t>V(L_2^*)&gt;V(delta_{x_2}) ==&gt; reject x_2 and continue search.</t>
  </si>
  <si>
    <t>optimal rule of EU maximizer.</t>
  </si>
  <si>
    <t>delta_{v_{n-j }} ～ G_{n-j }(S^{j +1})(・) = ∫_[-∞,∞] ( s_{j+1}(x)*delta_x + (1-s_{j+1}(x)) G_{n^j-1} (s^{j+2})(・) )dF(x).</t>
  </si>
  <si>
    <t>I.e., the case that V(L_1)&lt;V(delta_{x_2}).</t>
  </si>
  <si>
    <r>
      <t>They refered this case as "</t>
    </r>
    <r>
      <rPr>
        <b/>
        <sz val="11"/>
        <rFont val="ＭＳ Ｐゴシック"/>
        <family val="0"/>
      </rPr>
      <t>behaviorally inconsistency.</t>
    </r>
    <r>
      <rPr>
        <sz val="11"/>
        <rFont val="ＭＳ Ｐゴシック"/>
        <family val="0"/>
      </rPr>
      <t>"</t>
    </r>
  </si>
  <si>
    <t xml:space="preserve"> V(delta_{x_2})&gt;V(accept,2)&gt;V(continue,2).</t>
  </si>
  <si>
    <t>In Non EU context, it is possible that</t>
  </si>
  <si>
    <t>If V is quasi-convex, then a result that "reseration price" based  optimal stopping strategy of EU search holds.</t>
  </si>
  <si>
    <t xml:space="preserve">s_{n-1} (x) = argmax V(s*delta_x+(1-s)*G_1), then from quasi-convexity, </t>
  </si>
  <si>
    <t>schetch of their proof.</t>
  </si>
  <si>
    <t xml:space="preserve">(By induction.)  agent n-1, the most recent observation x. </t>
  </si>
  <si>
    <t xml:space="preserve">s_{n-j } (x) = argmax V(s *delta_x+(1-s)*G_{n-j } (s^{j+1})), then from quasi-convexity, </t>
  </si>
  <si>
    <t>s_{n-j } (x) = IF(V(delta_x) &gt; V(G_{n-j })=V(delta_{v_{n-j }}), 1, V(delta_x) &lt; V(G_{n-j })=V(delta_{v_{n-j }}), 0, RAND()).</t>
  </si>
  <si>
    <t>s_{n-1} (x) = IF(V(delta_x) &gt; V(G_1)=V(delta_{v_1}), 1, V(delta_x) &lt; V(G_1)=V(delta_{v_1}), 0, RAND()).</t>
  </si>
  <si>
    <t xml:space="preserve">Similary, if it is valid for j +1 then for each agent j , that is </t>
  </si>
  <si>
    <t xml:space="preserve">Since they assumed that V is monotonic increasing in the direction of FOSD, </t>
  </si>
  <si>
    <t>and G_{n-j }(s^{j+1}) &gt;_fosd G_{n-j -1}(s^{j+2}) by definition, the series v_k, k=1, ..., n is not decreasing.</t>
  </si>
  <si>
    <t>proof of Th.1</t>
  </si>
  <si>
    <t xml:space="preserve">More precisely, if the stopping rule is behaviorally consistent then the following preference relation as for V holds. </t>
  </si>
  <si>
    <t>If V be a strictly quasi-concave, then the interval  [vL_{n-j }, vU_{n-j }] exists, and s_j (x)=IF(x&gt;=vU_{n-j }, 1, x=&lt;vL_{n-j }.</t>
  </si>
  <si>
    <t>(As for quasi-convex V,)</t>
  </si>
  <si>
    <t>(As for strictly quasi-concave V,)</t>
  </si>
  <si>
    <t>vL_{n-j } = Max{ x | s_j (y) = 0 for all y =&lt; x }, vU_{n-j } = Min{ x | s_j (y) = 1 for all y &gt;= x }.</t>
  </si>
  <si>
    <t>V( s_j (x)*IF(z&gt;=x,1,0) + (1-s_j (x))*L_{j+1}^s)  where delta_x (z)= IF(z&gt;=x,1,0).</t>
  </si>
  <si>
    <t>theorem 1</t>
  </si>
  <si>
    <t>theorem 2</t>
  </si>
  <si>
    <t>He tried to formalize such problems, eg., the optimal partition for single decision and memory allocation problem among several decisions.</t>
  </si>
  <si>
    <r>
      <t>objective</t>
    </r>
    <r>
      <rPr>
        <sz val="11"/>
        <rFont val="ＭＳ Ｐゴシック"/>
        <family val="0"/>
      </rPr>
      <t>: When the exact history of search cannnot be remembered, how does an agent search to find the lowest price.</t>
    </r>
  </si>
  <si>
    <r>
      <t>hypothesis:</t>
    </r>
    <r>
      <rPr>
        <sz val="11"/>
        <rFont val="ＭＳ Ｐゴシック"/>
        <family val="0"/>
      </rPr>
      <t xml:space="preserve"> an agent whose imperfect memory is represented by a partition of possible prices.  And the information that is remembered is itself a choice variable, so as to optimize the design of decision rule.</t>
    </r>
  </si>
  <si>
    <t>Search decisions with limited memory (James Dow, RES 58:1-14, 1991)</t>
  </si>
  <si>
    <t>caveates: Either "information organization" to optimize processing cost,  complexity of decision rule, repeated game play, finding equilibrium problem, or  any other type of bounded rationality is omitted.</t>
  </si>
  <si>
    <t>example 1.</t>
  </si>
  <si>
    <t>prices</t>
  </si>
  <si>
    <t>stores</t>
  </si>
  <si>
    <t>Lower</t>
  </si>
  <si>
    <t>memory</t>
  </si>
  <si>
    <t>optimal strategy</t>
  </si>
  <si>
    <t>none</t>
  </si>
  <si>
    <t>perfect</t>
  </si>
  <si>
    <t>expected payments</t>
  </si>
  <si>
    <t>=∫_0^1 [x＾2]dx</t>
  </si>
  <si>
    <t>=(1/4)(1/2)+(1/2)(1/2)</t>
  </si>
  <si>
    <t>=[{(1/4)(1/8)+(3/4)(1/4)}+{(3/4)(3/8)+(1/4)(3/4)}]/2</t>
  </si>
  <si>
    <t>knowledge</t>
  </si>
  <si>
    <t>p_1 &gt; 1/2</t>
  </si>
  <si>
    <t>p_1 =&lt;1/2</t>
  </si>
  <si>
    <t>case 1</t>
  </si>
  <si>
    <t>case 2</t>
  </si>
  <si>
    <t>case 3</t>
  </si>
  <si>
    <t>case 4</t>
  </si>
  <si>
    <t>▼level &gt;1/2</t>
  </si>
  <si>
    <t>decision</t>
  </si>
  <si>
    <t>E_payoff_1</t>
  </si>
  <si>
    <t>E_payoff_2</t>
  </si>
  <si>
    <t>→always buy at the minimum</t>
  </si>
  <si>
    <t>→buy at store 2, t=2 if lower than 1/2, otherwise buy at store 1, t=3.</t>
  </si>
  <si>
    <t xml:space="preserve">→if he knows p_1&lt; 1/2, buy at store 2 </t>
  </si>
  <si>
    <t xml:space="preserve">    if the price of store 2 &lt; E(p_1|p_1&gt;1/2) =1/4, </t>
  </si>
  <si>
    <t xml:space="preserve">    with probability 1/4,  otherwise return to store 1,</t>
  </si>
  <si>
    <t xml:space="preserve">    with E(p_1|p_1&gt;1/2) =1/4 and probability 3/4.</t>
  </si>
  <si>
    <t>p_2 &gt;=1/4</t>
  </si>
  <si>
    <t>critical p_2</t>
  </si>
  <si>
    <t>p_2 &lt; 1/4</t>
  </si>
  <si>
    <t>p_2 &gt; 3/4</t>
  </si>
  <si>
    <t>p_2 =&lt;3/4</t>
  </si>
  <si>
    <t>Min</t>
  </si>
  <si>
    <t>Prob such</t>
  </si>
  <si>
    <t>Prob[p_2&lt;p_1|case]</t>
  </si>
  <si>
    <t>support</t>
  </si>
  <si>
    <t>[0,1]</t>
  </si>
  <si>
    <t>reservation price</t>
  </si>
  <si>
    <t>expected payment</t>
  </si>
  <si>
    <t>L(E,π) = Σ_1^n π_k[Pr (p_2 &lt; E_k)*E(p_2|p_2&lt;E_k)+Pr (p_2 =&gt; E_k)*E_k].</t>
  </si>
  <si>
    <t>E_k=E(p_1|m_k), Pr(m_k)=π_k</t>
  </si>
  <si>
    <t>Mean</t>
  </si>
  <si>
    <t>Minimal expected payoff</t>
  </si>
  <si>
    <r>
      <t>Proposition 1</t>
    </r>
    <r>
      <rPr>
        <sz val="11"/>
        <rFont val="ＭＳ Ｐゴシック"/>
        <family val="0"/>
      </rPr>
      <t xml:space="preserve">: An optimal partition consists of intervals. </t>
    </r>
    <r>
      <rPr>
        <b/>
        <sz val="11"/>
        <rFont val="ＭＳ Ｐゴシック"/>
        <family val="0"/>
      </rPr>
      <t>m_k=(λ_{k-1}, λ_k ],</t>
    </r>
    <r>
      <rPr>
        <sz val="11"/>
        <rFont val="ＭＳ Ｐゴシック"/>
        <family val="0"/>
      </rPr>
      <t xml:space="preserve"> s.t. λ_{k-1 }=&lt;λ_k , k=0, …, n, λ_0 =0, λ_n =1.</t>
    </r>
  </si>
  <si>
    <r>
      <t>Proposition 2</t>
    </r>
    <r>
      <rPr>
        <sz val="11"/>
        <rFont val="ＭＳ Ｐゴシック"/>
        <family val="0"/>
      </rPr>
      <t xml:space="preserve">: The endpoints λ_k of the optimal partitions  iff  </t>
    </r>
    <r>
      <rPr>
        <b/>
        <sz val="11"/>
        <rFont val="ＭＳ Ｐゴシック"/>
        <family val="0"/>
      </rPr>
      <t>λ_k = E( p | E_k &lt; p &lt; E_{k+1})</t>
    </r>
    <r>
      <rPr>
        <sz val="11"/>
        <rFont val="ＭＳ Ｐゴシック"/>
        <family val="0"/>
      </rPr>
      <t>, k=1, …, n-1.</t>
    </r>
  </si>
  <si>
    <r>
      <t>Proposition 3</t>
    </r>
    <r>
      <rPr>
        <sz val="11"/>
        <rFont val="ＭＳ Ｐゴシック"/>
        <family val="0"/>
      </rPr>
      <t>: For the pair of decision problems, with 1 bit of memory and independent, uniform prices, the optimal partition conveys information about only 1 price.</t>
    </r>
  </si>
  <si>
    <r>
      <t>results</t>
    </r>
    <r>
      <rPr>
        <sz val="11"/>
        <color indexed="12"/>
        <rFont val="ＭＳ Ｐゴシック"/>
        <family val="3"/>
      </rPr>
      <t>: In the latter case,  he found that it is better to allocate 1 bit memory exclusively to one of them (i.e., "specialization") than sharing memory among two decisions.</t>
    </r>
  </si>
  <si>
    <t>example 2.</t>
  </si>
  <si>
    <t>Unifrom distribution.</t>
  </si>
  <si>
    <t>E_k = (λ_{k} + λ_{k+1})/2</t>
  </si>
  <si>
    <t>λ_{k} = (E_k + E_{k+1})/2 = λ_{k-1}/4 +λ_{k}/2 +λ_{k+1}/4 = k/n.</t>
  </si>
  <si>
    <t xml:space="preserve">L(λ) = [ 1-Σ((E_k)^2*π_k )] /2 &gt;= 1/3+1/24*n^(-2). </t>
  </si>
  <si>
    <t>n</t>
  </si>
  <si>
    <t>min L(λ)</t>
  </si>
  <si>
    <t>The problem of this paper focused on is that the allocation of limited number of bits of memory space among the several decision problems by a single agent.</t>
  </si>
  <si>
    <r>
      <t xml:space="preserve">Or the problem of notion of </t>
    </r>
    <r>
      <rPr>
        <b/>
        <sz val="11"/>
        <rFont val="ＭＳ Ｐゴシック"/>
        <family val="0"/>
      </rPr>
      <t>"separability"</t>
    </r>
    <r>
      <rPr>
        <sz val="11"/>
        <rFont val="ＭＳ Ｐゴシック"/>
        <family val="0"/>
      </rPr>
      <t xml:space="preserve"> when memory is limited. Namely, when can different problems be treated as separate decisioin problems?</t>
    </r>
  </si>
  <si>
    <t xml:space="preserve">(conjecture, p.8)  separability holds if the optimal partition for the overall decision problem can be expressed as the coarsest commmon refinement (C.C.R.) of partitions for the separate problems. </t>
  </si>
  <si>
    <t>example 3.</t>
  </si>
  <si>
    <t>example 4.</t>
  </si>
  <si>
    <t>(abbreviated in this time.)</t>
  </si>
  <si>
    <t>two goods decision problem where the consumer with 1 bit memory solves simultaneously two independent problems each of which is similar type of example 1.</t>
  </si>
  <si>
    <t>It becomes the same result as that we know as for example 1 above if a single bit memory is entirely allocated to one of the two problems.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</si>
</sst>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%"/>
    <numFmt numFmtId="177" formatCode="0.0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0.000"/>
    <numFmt numFmtId="195" formatCode="0.0000"/>
    <numFmt numFmtId="196" formatCode="0.00000"/>
    <numFmt numFmtId="197" formatCode="0_);[Red]\(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1.5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9" fontId="2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2" fontId="0" fillId="0" borderId="12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9" fillId="0" borderId="0" xfId="0" applyFont="1" applyAlignment="1">
      <alignment/>
    </xf>
    <xf numFmtId="2" fontId="0" fillId="0" borderId="25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195" fontId="0" fillId="2" borderId="4" xfId="0" applyNumberFormat="1" applyFill="1" applyBorder="1" applyAlignment="1">
      <alignment/>
    </xf>
    <xf numFmtId="195" fontId="0" fillId="2" borderId="9" xfId="0" applyNumberFormat="1" applyFill="1" applyBorder="1" applyAlignment="1">
      <alignment/>
    </xf>
    <xf numFmtId="195" fontId="0" fillId="2" borderId="5" xfId="0" applyNumberFormat="1" applyFill="1" applyBorder="1" applyAlignment="1">
      <alignment/>
    </xf>
    <xf numFmtId="195" fontId="0" fillId="2" borderId="10" xfId="0" applyNumberFormat="1" applyFill="1" applyBorder="1" applyAlignment="1">
      <alignment/>
    </xf>
    <xf numFmtId="195" fontId="0" fillId="2" borderId="0" xfId="0" applyNumberFormat="1" applyFill="1" applyBorder="1" applyAlignment="1">
      <alignment/>
    </xf>
    <xf numFmtId="195" fontId="0" fillId="2" borderId="11" xfId="0" applyNumberFormat="1" applyFill="1" applyBorder="1" applyAlignment="1">
      <alignment/>
    </xf>
    <xf numFmtId="195" fontId="0" fillId="2" borderId="6" xfId="0" applyNumberFormat="1" applyFill="1" applyBorder="1" applyAlignment="1">
      <alignment/>
    </xf>
    <xf numFmtId="195" fontId="0" fillId="2" borderId="8" xfId="0" applyNumberFormat="1" applyFill="1" applyBorder="1" applyAlignment="1">
      <alignment/>
    </xf>
    <xf numFmtId="195" fontId="0" fillId="2" borderId="7" xfId="0" applyNumberFormat="1" applyFill="1" applyBorder="1" applyAlignment="1">
      <alignment/>
    </xf>
    <xf numFmtId="0" fontId="0" fillId="7" borderId="23" xfId="0" applyFill="1" applyBorder="1" applyAlignment="1">
      <alignment/>
    </xf>
    <xf numFmtId="0" fontId="9" fillId="0" borderId="26" xfId="0" applyFont="1" applyBorder="1" applyAlignment="1">
      <alignment/>
    </xf>
    <xf numFmtId="1" fontId="0" fillId="8" borderId="4" xfId="0" applyNumberFormat="1" applyFill="1" applyBorder="1" applyAlignment="1">
      <alignment/>
    </xf>
    <xf numFmtId="1" fontId="0" fillId="8" borderId="9" xfId="0" applyNumberFormat="1" applyFill="1" applyBorder="1" applyAlignment="1">
      <alignment/>
    </xf>
    <xf numFmtId="1" fontId="0" fillId="8" borderId="5" xfId="0" applyNumberFormat="1" applyFill="1" applyBorder="1" applyAlignment="1">
      <alignment/>
    </xf>
    <xf numFmtId="1" fontId="0" fillId="8" borderId="10" xfId="0" applyNumberFormat="1" applyFill="1" applyBorder="1" applyAlignment="1">
      <alignment/>
    </xf>
    <xf numFmtId="1" fontId="0" fillId="8" borderId="0" xfId="0" applyNumberFormat="1" applyFill="1" applyBorder="1" applyAlignment="1">
      <alignment/>
    </xf>
    <xf numFmtId="1" fontId="0" fillId="8" borderId="11" xfId="0" applyNumberFormat="1" applyFill="1" applyBorder="1" applyAlignment="1">
      <alignment/>
    </xf>
    <xf numFmtId="1" fontId="0" fillId="8" borderId="6" xfId="0" applyNumberFormat="1" applyFill="1" applyBorder="1" applyAlignment="1">
      <alignment/>
    </xf>
    <xf numFmtId="1" fontId="0" fillId="8" borderId="8" xfId="0" applyNumberFormat="1" applyFill="1" applyBorder="1" applyAlignment="1">
      <alignment/>
    </xf>
    <xf numFmtId="1" fontId="0" fillId="8" borderId="7" xfId="0" applyNumberFormat="1" applyFill="1" applyBorder="1" applyAlignment="1">
      <alignment/>
    </xf>
    <xf numFmtId="13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0" fillId="9" borderId="0" xfId="0" applyFill="1" applyAlignment="1">
      <alignment/>
    </xf>
    <xf numFmtId="13" fontId="0" fillId="10" borderId="20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right"/>
    </xf>
    <xf numFmtId="12" fontId="0" fillId="0" borderId="2" xfId="0" applyNumberFormat="1" applyBorder="1" applyAlignment="1">
      <alignment/>
    </xf>
    <xf numFmtId="12" fontId="0" fillId="2" borderId="2" xfId="0" applyNumberFormat="1" applyFill="1" applyBorder="1" applyAlignment="1">
      <alignment/>
    </xf>
    <xf numFmtId="12" fontId="0" fillId="0" borderId="15" xfId="0" applyNumberFormat="1" applyBorder="1" applyAlignment="1">
      <alignment/>
    </xf>
    <xf numFmtId="0" fontId="0" fillId="0" borderId="16" xfId="0" applyBorder="1" applyAlignment="1">
      <alignment horizontal="right"/>
    </xf>
    <xf numFmtId="12" fontId="0" fillId="0" borderId="0" xfId="0" applyNumberFormat="1" applyBorder="1" applyAlignment="1">
      <alignment/>
    </xf>
    <xf numFmtId="12" fontId="0" fillId="2" borderId="0" xfId="0" applyNumberFormat="1" applyFill="1" applyBorder="1" applyAlignment="1">
      <alignment/>
    </xf>
    <xf numFmtId="12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2" borderId="3" xfId="0" applyFill="1" applyBorder="1" applyAlignment="1">
      <alignment/>
    </xf>
    <xf numFmtId="12" fontId="0" fillId="0" borderId="3" xfId="0" applyNumberFormat="1" applyBorder="1" applyAlignment="1">
      <alignment/>
    </xf>
    <xf numFmtId="12" fontId="0" fillId="2" borderId="3" xfId="0" applyNumberFormat="1" applyFill="1" applyBorder="1" applyAlignment="1">
      <alignment/>
    </xf>
    <xf numFmtId="12" fontId="0" fillId="0" borderId="19" xfId="0" applyNumberFormat="1" applyBorder="1" applyAlignment="1">
      <alignment/>
    </xf>
    <xf numFmtId="0" fontId="0" fillId="0" borderId="3" xfId="0" applyBorder="1" applyAlignment="1" quotePrefix="1">
      <alignment/>
    </xf>
    <xf numFmtId="0" fontId="0" fillId="0" borderId="25" xfId="0" applyBorder="1" applyAlignment="1">
      <alignment/>
    </xf>
    <xf numFmtId="12" fontId="0" fillId="0" borderId="16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17" xfId="0" applyBorder="1" applyAlignment="1">
      <alignment/>
    </xf>
    <xf numFmtId="1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 patternType="solid">
          <bgColor rgb="FFFFFF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'limited memory'!$B$17</c:f>
              <c:strCache>
                <c:ptCount val="1"/>
                <c:pt idx="0">
                  <c:v>expected payments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'limited memory'!$A$18:$A$20</c:f>
              <c:strCache/>
            </c:strRef>
          </c:cat>
          <c:val>
            <c:numRef>
              <c:f>'limited memory'!$B$18:$B$20</c:f>
              <c:numCache/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diminishing returns to cale in the value of remembered information min L(λ) in case of uniformly distributed prices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'limited memory'!$A$50</c:f>
              <c:strCache>
                <c:ptCount val="1"/>
                <c:pt idx="0">
                  <c:v>min L(λ)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'limited memory'!$B$49:$K$49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'limited memory'!$B$50:$K$50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4997311"/>
        <c:axId val="48104888"/>
      </c:scatterChart>
      <c:valAx>
        <c:axId val="6499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n: bits of memory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04888"/>
        <c:crosses val="autoZero"/>
        <c:crossBetween val="midCat"/>
        <c:dispUnits/>
      </c:valAx>
      <c:valAx>
        <c:axId val="481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minimal expected payoff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997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simulation!$F$7</c:f>
              <c:strCache>
                <c:ptCount val="1"/>
                <c:pt idx="0">
                  <c:v>reserv. 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simulation!$B$7:$B$28</c:f>
              <c:strCache/>
            </c:strRef>
          </c:cat>
          <c:val>
            <c:numRef>
              <c:f>simulation!$F$8:$F$28</c:f>
              <c:numCache>
                <c:ptCount val="21"/>
                <c:pt idx="0">
                  <c:v>16.259689927101135</c:v>
                </c:pt>
                <c:pt idx="1">
                  <c:v>8.815362106251996</c:v>
                </c:pt>
                <c:pt idx="2">
                  <c:v>8.815362106251996</c:v>
                </c:pt>
                <c:pt idx="3">
                  <c:v>8.815362106251996</c:v>
                </c:pt>
                <c:pt idx="4">
                  <c:v>8.815362106251996</c:v>
                </c:pt>
                <c:pt idx="5">
                  <c:v>8.815362106251996</c:v>
                </c:pt>
                <c:pt idx="6">
                  <c:v>8.815362106251996</c:v>
                </c:pt>
                <c:pt idx="7">
                  <c:v>8.815362106251996</c:v>
                </c:pt>
                <c:pt idx="8">
                  <c:v>8.815362106251996</c:v>
                </c:pt>
                <c:pt idx="9">
                  <c:v>8.815362106251996</c:v>
                </c:pt>
                <c:pt idx="10">
                  <c:v>8.815362106251996</c:v>
                </c:pt>
                <c:pt idx="11">
                  <c:v>8.815362106251996</c:v>
                </c:pt>
                <c:pt idx="12">
                  <c:v>8.815362106251996</c:v>
                </c:pt>
                <c:pt idx="13">
                  <c:v>8.815362106251996</c:v>
                </c:pt>
                <c:pt idx="14">
                  <c:v>8.815362106251996</c:v>
                </c:pt>
                <c:pt idx="15">
                  <c:v>8.815362106251996</c:v>
                </c:pt>
                <c:pt idx="16">
                  <c:v>8.815362106251996</c:v>
                </c:pt>
                <c:pt idx="17">
                  <c:v>8.815362106251996</c:v>
                </c:pt>
                <c:pt idx="18">
                  <c:v>8.815362106251996</c:v>
                </c:pt>
                <c:pt idx="19">
                  <c:v>8.815362106251996</c:v>
                </c:pt>
                <c:pt idx="20">
                  <c:v>8.815362106251996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simulation!$H$7</c:f>
              <c:strCache>
                <c:ptCount val="1"/>
                <c:pt idx="0">
                  <c:v>exp. net gain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simulation!$B$7:$B$28</c:f>
              <c:strCache/>
            </c:strRef>
          </c:cat>
          <c:val>
            <c:numRef>
              <c:f>simulation!$H$8:$H$28</c:f>
              <c:numCache>
                <c:ptCount val="21"/>
                <c:pt idx="0">
                  <c:v>11.242464098779351</c:v>
                </c:pt>
                <c:pt idx="1">
                  <c:v>5.7721798937142665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simulation!$J$7</c:f>
              <c:strCache>
                <c:ptCount val="1"/>
                <c:pt idx="0">
                  <c:v>max sampled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simulation!$J$8:$J$28</c:f>
              <c:numCache>
                <c:ptCount val="21"/>
                <c:pt idx="0">
                  <c:v>16.259689927101135</c:v>
                </c:pt>
                <c:pt idx="1">
                  <c:v>16.259689927101135</c:v>
                </c:pt>
                <c:pt idx="2">
                  <c:v>16.259689927101135</c:v>
                </c:pt>
                <c:pt idx="3">
                  <c:v>16.259689927101135</c:v>
                </c:pt>
                <c:pt idx="4">
                  <c:v>16.259689927101135</c:v>
                </c:pt>
                <c:pt idx="5">
                  <c:v>16.259689927101135</c:v>
                </c:pt>
                <c:pt idx="6">
                  <c:v>16.259689927101135</c:v>
                </c:pt>
                <c:pt idx="7">
                  <c:v>16.259689927101135</c:v>
                </c:pt>
                <c:pt idx="8">
                  <c:v>16.259689927101135</c:v>
                </c:pt>
                <c:pt idx="9">
                  <c:v>16.259689927101135</c:v>
                </c:pt>
                <c:pt idx="10">
                  <c:v>16.259689927101135</c:v>
                </c:pt>
                <c:pt idx="11">
                  <c:v>16.259689927101135</c:v>
                </c:pt>
                <c:pt idx="12">
                  <c:v>16.259689927101135</c:v>
                </c:pt>
                <c:pt idx="13">
                  <c:v>16.259689927101135</c:v>
                </c:pt>
                <c:pt idx="14">
                  <c:v>16.259689927101135</c:v>
                </c:pt>
                <c:pt idx="15">
                  <c:v>16.259689927101135</c:v>
                </c:pt>
                <c:pt idx="16">
                  <c:v>16.259689927101135</c:v>
                </c:pt>
                <c:pt idx="17">
                  <c:v>16.259689927101135</c:v>
                </c:pt>
                <c:pt idx="18">
                  <c:v>16.259689927101135</c:v>
                </c:pt>
                <c:pt idx="19">
                  <c:v>16.259689927101135</c:v>
                </c:pt>
                <c:pt idx="20">
                  <c:v>16.259689927101135</c:v>
                </c:pt>
              </c:numCache>
            </c:numRef>
          </c:val>
          <c:smooth val="0"/>
        </c:ser>
        <c:marker val="1"/>
        <c:axId val="30290809"/>
        <c:axId val="4181826"/>
      </c:lineChart>
      <c:lineChart>
        <c:grouping val="standard"/>
        <c:varyColors val="0"/>
        <c:ser>
          <c:idx val="3"/>
          <c:order val="2"/>
          <c:tx>
            <c:strRef>
              <c:f>simulation!$E$7</c:f>
              <c:strCache>
                <c:ptCount val="1"/>
                <c:pt idx="0">
                  <c:v>probability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simulation!$E$8:$E$28</c:f>
              <c:numCache>
                <c:ptCount val="21"/>
                <c:pt idx="0">
                  <c:v>0.691431641635476</c:v>
                </c:pt>
                <c:pt idx="1">
                  <c:v>0.6547864766236369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7636435"/>
        <c:axId val="318359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1826"/>
        <c:crosses val="autoZero"/>
        <c:auto val="0"/>
        <c:lblOffset val="100"/>
        <c:noMultiLvlLbl val="0"/>
      </c:catAx>
      <c:valAx>
        <c:axId val="41818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290809"/>
        <c:crossesAt val="1"/>
        <c:crossBetween val="between"/>
        <c:dispUnits/>
      </c:valAx>
      <c:catAx>
        <c:axId val="37636435"/>
        <c:scaling>
          <c:orientation val="minMax"/>
        </c:scaling>
        <c:axPos val="b"/>
        <c:delete val="1"/>
        <c:majorTickMark val="in"/>
        <c:minorTickMark val="none"/>
        <c:tickLblPos val="nextTo"/>
        <c:crossAx val="3183596"/>
        <c:crosses val="autoZero"/>
        <c:auto val="0"/>
        <c:lblOffset val="100"/>
        <c:noMultiLvlLbl val="0"/>
      </c:catAx>
      <c:valAx>
        <c:axId val="3183596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76364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β分布</a:t>
            </a:r>
          </a:p>
        </c:rich>
      </c:tx>
      <c:layout/>
      <c:spPr>
        <a:noFill/>
        <a:ln>
          <a:noFill/>
        </a:ln>
      </c:spPr>
    </c:title>
    <c:view3D>
      <c:rotX val="17"/>
      <c:rotY val="11"/>
      <c:depthPercent val="320"/>
      <c:rAngAx val="0"/>
      <c:perspective val="30"/>
    </c:view3D>
    <c:plotArea>
      <c:layout>
        <c:manualLayout>
          <c:xMode val="edge"/>
          <c:yMode val="edge"/>
          <c:x val="0.00375"/>
          <c:y val="0.104"/>
          <c:w val="0.92325"/>
          <c:h val="0.869"/>
        </c:manualLayout>
      </c:layout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dai!$B$29:$K$29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dai!$B$30:$K$30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dai!$B$31:$K$31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dai!$B$32:$K$32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dai!$B$33:$K$33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dai!$B$34:$K$34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dai!$B$35:$K$35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dai!$B$36:$K$36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dai!$B$37:$K$37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dai!$A$29:$A$38</c:f>
              <c:numCache/>
            </c:numRef>
          </c:cat>
          <c:val>
            <c:numRef>
              <c:f>dai!$B$38:$K$38</c:f>
              <c:numCache/>
            </c:numRef>
          </c:val>
        </c:ser>
        <c:gapDepth val="240"/>
        <c:axId val="28652365"/>
        <c:axId val="56544694"/>
        <c:axId val="39140199"/>
      </c:area3DChart>
      <c:cat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652365"/>
        <c:crossesAt val="1"/>
        <c:crossBetween val="midCat"/>
        <c:dispUnits/>
      </c:valAx>
      <c:serAx>
        <c:axId val="3914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α、β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54469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Gittins Index(DAI)  by simulation</a:t>
            </a:r>
          </a:p>
        </c:rich>
      </c:tx>
      <c:layout/>
      <c:spPr>
        <a:noFill/>
        <a:ln>
          <a:noFill/>
        </a:ln>
      </c:spPr>
    </c:title>
    <c:view3D>
      <c:rotX val="34"/>
      <c:rotY val="210"/>
      <c:depthPercent val="320"/>
      <c:rAngAx val="0"/>
      <c:perspective val="30"/>
    </c:view3D>
    <c:plotArea>
      <c:layout>
        <c:manualLayout>
          <c:xMode val="edge"/>
          <c:yMode val="edge"/>
          <c:x val="0"/>
          <c:y val="0.1055"/>
          <c:w val="0.93725"/>
          <c:h val="0.894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dai!$B$55:$K$55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dai!$B$56:$K$56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dai!$B$57:$K$57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dai!$B$58:$K$58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dai!$B$59:$K$59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dai!$B$60:$K$60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dai!$B$61:$K$61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dai!$B$62:$K$62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dai!$B$63:$K$63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dai!$B$54:$K$54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dai!$B$64:$K$64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717472"/>
        <c:axId val="16239521"/>
        <c:axId val="11937962"/>
      </c:surface3D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DAI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717472"/>
        <c:crossesAt val="1"/>
        <c:crossBetween val="midCat"/>
        <c:dispUnits/>
      </c:valAx>
      <c:serAx>
        <c:axId val="119379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623952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R/W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dai!$L$68</c:f>
              <c:strCache>
                <c:ptCount val="1"/>
                <c:pt idx="0">
                  <c:v>ν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dai!$M$69:$M$226</c:f>
              <c:numCache>
                <c:ptCount val="1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</c:numCache>
            </c:numRef>
          </c:val>
          <c:smooth val="0"/>
        </c:ser>
        <c:axId val="40332795"/>
        <c:axId val="27450836"/>
      </c:lineChart>
      <c:catAx>
        <c:axId val="4033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7450836"/>
        <c:crosses val="autoZero"/>
        <c:auto val="1"/>
        <c:lblOffset val="100"/>
        <c:noMultiLvlLbl val="0"/>
      </c:catAx>
      <c:valAx>
        <c:axId val="27450836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332795"/>
        <c:crossesAt val="1"/>
        <c:crossBetween val="between"/>
        <c:dispUnits/>
        <c:majorUnit val="0.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104775</xdr:rowOff>
    </xdr:from>
    <xdr:to>
      <xdr:col>6</xdr:col>
      <xdr:colOff>85725</xdr:colOff>
      <xdr:row>38</xdr:row>
      <xdr:rowOff>133350</xdr:rowOff>
    </xdr:to>
    <xdr:grpSp>
      <xdr:nvGrpSpPr>
        <xdr:cNvPr id="1" name="Group 55"/>
        <xdr:cNvGrpSpPr>
          <a:grpSpLocks/>
        </xdr:cNvGrpSpPr>
      </xdr:nvGrpSpPr>
      <xdr:grpSpPr>
        <a:xfrm>
          <a:off x="171450" y="4714875"/>
          <a:ext cx="4143375" cy="2085975"/>
          <a:chOff x="18" y="423"/>
          <a:chExt cx="435" cy="21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8" y="423"/>
            <a:ext cx="435" cy="2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51" y="480"/>
            <a:ext cx="49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9"/>
          <xdr:cNvSpPr>
            <a:spLocks/>
          </xdr:cNvSpPr>
        </xdr:nvSpPr>
        <xdr:spPr>
          <a:xfrm>
            <a:off x="188" y="482"/>
            <a:ext cx="50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" y="550"/>
            <a:ext cx="3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buy</a:t>
            </a:r>
          </a:p>
        </xdr:txBody>
      </xdr:sp>
      <xdr:sp>
        <xdr:nvSpPr>
          <xdr:cNvPr id="6" name="TextBox 36"/>
          <xdr:cNvSpPr txBox="1">
            <a:spLocks noChangeArrowheads="1"/>
          </xdr:cNvSpPr>
        </xdr:nvSpPr>
        <xdr:spPr>
          <a:xfrm>
            <a:off x="47" y="436"/>
            <a:ext cx="4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Store 1
 (t=1)</a:t>
            </a:r>
          </a:p>
        </xdr:txBody>
      </xdr:sp>
      <xdr:sp>
        <xdr:nvSpPr>
          <xdr:cNvPr id="7" name="TextBox 37"/>
          <xdr:cNvSpPr txBox="1">
            <a:spLocks noChangeArrowheads="1"/>
          </xdr:cNvSpPr>
        </xdr:nvSpPr>
        <xdr:spPr>
          <a:xfrm>
            <a:off x="322" y="439"/>
            <a:ext cx="4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Store 1
 (t=3)</a:t>
            </a:r>
          </a:p>
        </xdr:txBody>
      </xdr:sp>
      <xdr:sp>
        <xdr:nvSpPr>
          <xdr:cNvPr id="8" name="TextBox 38"/>
          <xdr:cNvSpPr txBox="1">
            <a:spLocks noChangeArrowheads="1"/>
          </xdr:cNvSpPr>
        </xdr:nvSpPr>
        <xdr:spPr>
          <a:xfrm>
            <a:off x="183" y="437"/>
            <a:ext cx="4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Store 2
 (t=2)</a:t>
            </a:r>
          </a:p>
        </xdr:txBody>
      </xdr:sp>
      <xdr:sp>
        <xdr:nvSpPr>
          <xdr:cNvPr id="9" name="Rectangle 39"/>
          <xdr:cNvSpPr>
            <a:spLocks/>
          </xdr:cNvSpPr>
        </xdr:nvSpPr>
        <xdr:spPr>
          <a:xfrm>
            <a:off x="325" y="482"/>
            <a:ext cx="50" cy="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>
            <a:off x="76" y="525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41"/>
          <xdr:cNvSpPr>
            <a:spLocks/>
          </xdr:cNvSpPr>
        </xdr:nvSpPr>
        <xdr:spPr>
          <a:xfrm>
            <a:off x="211" y="527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>
            <a:off x="350" y="528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Box 43"/>
          <xdr:cNvSpPr txBox="1">
            <a:spLocks noChangeArrowheads="1"/>
          </xdr:cNvSpPr>
        </xdr:nvSpPr>
        <xdr:spPr>
          <a:xfrm>
            <a:off x="185" y="554"/>
            <a:ext cx="3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buy</a:t>
            </a:r>
          </a:p>
        </xdr:txBody>
      </xdr:sp>
      <xdr:sp>
        <xdr:nvSpPr>
          <xdr:cNvPr id="14" name="TextBox 44"/>
          <xdr:cNvSpPr txBox="1">
            <a:spLocks noChangeArrowheads="1"/>
          </xdr:cNvSpPr>
        </xdr:nvSpPr>
        <xdr:spPr>
          <a:xfrm>
            <a:off x="317" y="555"/>
            <a:ext cx="3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buy</a:t>
            </a:r>
          </a:p>
        </xdr:txBody>
      </xdr:sp>
      <xdr:sp>
        <xdr:nvSpPr>
          <xdr:cNvPr id="15" name="Line 45"/>
          <xdr:cNvSpPr>
            <a:spLocks/>
          </xdr:cNvSpPr>
        </xdr:nvSpPr>
        <xdr:spPr>
          <a:xfrm flipV="1">
            <a:off x="101" y="501"/>
            <a:ext cx="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46"/>
          <xdr:cNvSpPr>
            <a:spLocks/>
          </xdr:cNvSpPr>
        </xdr:nvSpPr>
        <xdr:spPr>
          <a:xfrm flipV="1">
            <a:off x="239" y="501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48"/>
          <xdr:cNvSpPr>
            <a:spLocks/>
          </xdr:cNvSpPr>
        </xdr:nvSpPr>
        <xdr:spPr>
          <a:xfrm>
            <a:off x="376" y="504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26</xdr:row>
      <xdr:rowOff>161925</xdr:rowOff>
    </xdr:from>
    <xdr:to>
      <xdr:col>10</xdr:col>
      <xdr:colOff>438150</xdr:colOff>
      <xdr:row>37</xdr:row>
      <xdr:rowOff>104775</xdr:rowOff>
    </xdr:to>
    <xdr:graphicFrame>
      <xdr:nvGraphicFramePr>
        <xdr:cNvPr id="18" name="Chart 51"/>
        <xdr:cNvGraphicFramePr/>
      </xdr:nvGraphicFramePr>
      <xdr:xfrm>
        <a:off x="4429125" y="4772025"/>
        <a:ext cx="29813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50</xdr:row>
      <xdr:rowOff>152400</xdr:rowOff>
    </xdr:from>
    <xdr:to>
      <xdr:col>6</xdr:col>
      <xdr:colOff>323850</xdr:colOff>
      <xdr:row>68</xdr:row>
      <xdr:rowOff>9525</xdr:rowOff>
    </xdr:to>
    <xdr:graphicFrame>
      <xdr:nvGraphicFramePr>
        <xdr:cNvPr id="19" name="Chart 57"/>
        <xdr:cNvGraphicFramePr/>
      </xdr:nvGraphicFramePr>
      <xdr:xfrm>
        <a:off x="285750" y="8877300"/>
        <a:ext cx="42672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15</xdr:row>
      <xdr:rowOff>9525</xdr:rowOff>
    </xdr:from>
    <xdr:to>
      <xdr:col>8</xdr:col>
      <xdr:colOff>676275</xdr:colOff>
      <xdr:row>27</xdr:row>
      <xdr:rowOff>28575</xdr:rowOff>
    </xdr:to>
    <xdr:graphicFrame>
      <xdr:nvGraphicFramePr>
        <xdr:cNvPr id="1" name="Chart 6"/>
        <xdr:cNvGraphicFramePr/>
      </xdr:nvGraphicFramePr>
      <xdr:xfrm>
        <a:off x="1562100" y="2590800"/>
        <a:ext cx="49053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161925</xdr:rowOff>
    </xdr:from>
    <xdr:to>
      <xdr:col>12</xdr:col>
      <xdr:colOff>209550</xdr:colOff>
      <xdr:row>31</xdr:row>
      <xdr:rowOff>104775</xdr:rowOff>
    </xdr:to>
    <xdr:graphicFrame>
      <xdr:nvGraphicFramePr>
        <xdr:cNvPr id="1" name="Chart 3"/>
        <xdr:cNvGraphicFramePr/>
      </xdr:nvGraphicFramePr>
      <xdr:xfrm>
        <a:off x="6048375" y="2905125"/>
        <a:ext cx="2590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666750</xdr:colOff>
      <xdr:row>59</xdr:row>
      <xdr:rowOff>19050</xdr:rowOff>
    </xdr:from>
    <xdr:to>
      <xdr:col>13</xdr:col>
      <xdr:colOff>666750</xdr:colOff>
      <xdr:row>63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10239375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19</xdr:col>
      <xdr:colOff>400050</xdr:colOff>
      <xdr:row>52</xdr:row>
      <xdr:rowOff>28575</xdr:rowOff>
    </xdr:to>
    <xdr:graphicFrame>
      <xdr:nvGraphicFramePr>
        <xdr:cNvPr id="3" name="Chart 7"/>
        <xdr:cNvGraphicFramePr/>
      </xdr:nvGraphicFramePr>
      <xdr:xfrm>
        <a:off x="8715375" y="5229225"/>
        <a:ext cx="44291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314325</xdr:colOff>
      <xdr:row>66</xdr:row>
      <xdr:rowOff>47625</xdr:rowOff>
    </xdr:from>
    <xdr:to>
      <xdr:col>22</xdr:col>
      <xdr:colOff>428625</xdr:colOff>
      <xdr:row>82</xdr:row>
      <xdr:rowOff>123825</xdr:rowOff>
    </xdr:to>
    <xdr:graphicFrame>
      <xdr:nvGraphicFramePr>
        <xdr:cNvPr id="4" name="Chart 10"/>
        <xdr:cNvGraphicFramePr/>
      </xdr:nvGraphicFramePr>
      <xdr:xfrm>
        <a:off x="10115550" y="11487150"/>
        <a:ext cx="46291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</xdr:row>
      <xdr:rowOff>28575</xdr:rowOff>
    </xdr:from>
    <xdr:to>
      <xdr:col>12</xdr:col>
      <xdr:colOff>95250</xdr:colOff>
      <xdr:row>21</xdr:row>
      <xdr:rowOff>57150</xdr:rowOff>
    </xdr:to>
    <xdr:grpSp>
      <xdr:nvGrpSpPr>
        <xdr:cNvPr id="1" name="Group 102"/>
        <xdr:cNvGrpSpPr>
          <a:grpSpLocks/>
        </xdr:cNvGrpSpPr>
      </xdr:nvGrpSpPr>
      <xdr:grpSpPr>
        <a:xfrm>
          <a:off x="5638800" y="1914525"/>
          <a:ext cx="2800350" cy="1743075"/>
          <a:chOff x="733" y="207"/>
          <a:chExt cx="294" cy="183"/>
        </a:xfrm>
        <a:solidFill>
          <a:srgbClr val="FFFFFF"/>
        </a:solidFill>
      </xdr:grpSpPr>
      <xdr:sp>
        <xdr:nvSpPr>
          <xdr:cNvPr id="2" name="Rectangle 100"/>
          <xdr:cNvSpPr>
            <a:spLocks/>
          </xdr:cNvSpPr>
        </xdr:nvSpPr>
        <xdr:spPr>
          <a:xfrm>
            <a:off x="733" y="207"/>
            <a:ext cx="294" cy="1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79"/>
          <xdr:cNvSpPr>
            <a:spLocks/>
          </xdr:cNvSpPr>
        </xdr:nvSpPr>
        <xdr:spPr>
          <a:xfrm>
            <a:off x="798" y="273"/>
            <a:ext cx="59" cy="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80"/>
          <xdr:cNvSpPr txBox="1">
            <a:spLocks noChangeArrowheads="1"/>
          </xdr:cNvSpPr>
        </xdr:nvSpPr>
        <xdr:spPr>
          <a:xfrm>
            <a:off x="958" y="341"/>
            <a:ext cx="3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x_3</a:t>
            </a:r>
          </a:p>
        </xdr:txBody>
      </xdr:sp>
      <xdr:sp>
        <xdr:nvSpPr>
          <xdr:cNvPr id="5" name="TextBox 81"/>
          <xdr:cNvSpPr txBox="1">
            <a:spLocks noChangeArrowheads="1"/>
          </xdr:cNvSpPr>
        </xdr:nvSpPr>
        <xdr:spPr>
          <a:xfrm>
            <a:off x="762" y="226"/>
            <a:ext cx="35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L_1</a:t>
            </a:r>
          </a:p>
        </xdr:txBody>
      </xdr:sp>
      <xdr:sp>
        <xdr:nvSpPr>
          <xdr:cNvPr id="6" name="AutoShape 94"/>
          <xdr:cNvSpPr>
            <a:spLocks/>
          </xdr:cNvSpPr>
        </xdr:nvSpPr>
        <xdr:spPr>
          <a:xfrm flipV="1">
            <a:off x="857" y="300"/>
            <a:ext cx="98" cy="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95"/>
          <xdr:cNvSpPr>
            <a:spLocks/>
          </xdr:cNvSpPr>
        </xdr:nvSpPr>
        <xdr:spPr>
          <a:xfrm flipV="1">
            <a:off x="857" y="249"/>
            <a:ext cx="95" cy="5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96"/>
          <xdr:cNvSpPr>
            <a:spLocks/>
          </xdr:cNvSpPr>
        </xdr:nvSpPr>
        <xdr:spPr>
          <a:xfrm>
            <a:off x="857" y="302"/>
            <a:ext cx="95" cy="5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7"/>
          <xdr:cNvSpPr txBox="1">
            <a:spLocks noChangeArrowheads="1"/>
          </xdr:cNvSpPr>
        </xdr:nvSpPr>
        <xdr:spPr>
          <a:xfrm>
            <a:off x="961" y="230"/>
            <a:ext cx="3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x_1</a:t>
            </a:r>
          </a:p>
        </xdr:txBody>
      </xdr:sp>
      <xdr:sp>
        <xdr:nvSpPr>
          <xdr:cNvPr id="10" name="TextBox 98"/>
          <xdr:cNvSpPr txBox="1">
            <a:spLocks noChangeArrowheads="1"/>
          </xdr:cNvSpPr>
        </xdr:nvSpPr>
        <xdr:spPr>
          <a:xfrm>
            <a:off x="959" y="279"/>
            <a:ext cx="3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x_2</a:t>
            </a:r>
          </a:p>
        </xdr:txBody>
      </xdr:sp>
      <xdr:sp>
        <xdr:nvSpPr>
          <xdr:cNvPr id="11" name="TextBox 101"/>
          <xdr:cNvSpPr txBox="1">
            <a:spLocks noChangeArrowheads="1"/>
          </xdr:cNvSpPr>
        </xdr:nvSpPr>
        <xdr:spPr>
          <a:xfrm>
            <a:off x="766" y="353"/>
            <a:ext cx="14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x_1&lt;x_2&lt;x_3</a:t>
            </a:r>
          </a:p>
        </xdr:txBody>
      </xdr:sp>
    </xdr:grpSp>
    <xdr:clientData/>
  </xdr:twoCellAnchor>
  <xdr:twoCellAnchor>
    <xdr:from>
      <xdr:col>1</xdr:col>
      <xdr:colOff>38100</xdr:colOff>
      <xdr:row>11</xdr:row>
      <xdr:rowOff>19050</xdr:rowOff>
    </xdr:from>
    <xdr:to>
      <xdr:col>7</xdr:col>
      <xdr:colOff>495300</xdr:colOff>
      <xdr:row>34</xdr:row>
      <xdr:rowOff>104775</xdr:rowOff>
    </xdr:to>
    <xdr:grpSp>
      <xdr:nvGrpSpPr>
        <xdr:cNvPr id="12" name="Group 106"/>
        <xdr:cNvGrpSpPr>
          <a:grpSpLocks/>
        </xdr:cNvGrpSpPr>
      </xdr:nvGrpSpPr>
      <xdr:grpSpPr>
        <a:xfrm>
          <a:off x="838200" y="1905000"/>
          <a:ext cx="4572000" cy="4029075"/>
          <a:chOff x="88" y="128"/>
          <a:chExt cx="480" cy="423"/>
        </a:xfrm>
        <a:solidFill>
          <a:srgbClr val="FFFFFF"/>
        </a:solidFill>
      </xdr:grpSpPr>
      <xdr:sp>
        <xdr:nvSpPr>
          <xdr:cNvPr id="13" name="Rectangle 56"/>
          <xdr:cNvSpPr>
            <a:spLocks/>
          </xdr:cNvSpPr>
        </xdr:nvSpPr>
        <xdr:spPr>
          <a:xfrm>
            <a:off x="88" y="128"/>
            <a:ext cx="480" cy="4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5"/>
          <xdr:cNvSpPr>
            <a:spLocks/>
          </xdr:cNvSpPr>
        </xdr:nvSpPr>
        <xdr:spPr>
          <a:xfrm>
            <a:off x="166" y="209"/>
            <a:ext cx="190" cy="137"/>
          </a:xfrm>
          <a:prstGeom prst="bentConnector3">
            <a:avLst>
              <a:gd name="adj1" fmla="val 49787"/>
              <a:gd name="adj2" fmla="val -86273"/>
              <a:gd name="adj3" fmla="val -8000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6"/>
          <xdr:cNvSpPr>
            <a:spLocks/>
          </xdr:cNvSpPr>
        </xdr:nvSpPr>
        <xdr:spPr>
          <a:xfrm flipV="1">
            <a:off x="166" y="208"/>
            <a:ext cx="189" cy="1"/>
          </a:xfrm>
          <a:prstGeom prst="bentConnector3">
            <a:avLst>
              <a:gd name="adj1" fmla="val 13200000"/>
              <a:gd name="adj2" fmla="val -80342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8"/>
          <xdr:cNvSpPr>
            <a:spLocks/>
          </xdr:cNvSpPr>
        </xdr:nvSpPr>
        <xdr:spPr>
          <a:xfrm>
            <a:off x="166" y="209"/>
            <a:ext cx="191" cy="272"/>
          </a:xfrm>
          <a:prstGeom prst="bentConnector3">
            <a:avLst>
              <a:gd name="adj1" fmla="val -43421"/>
              <a:gd name="adj2" fmla="val -79662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1"/>
          <xdr:cNvSpPr>
            <a:spLocks/>
          </xdr:cNvSpPr>
        </xdr:nvSpPr>
        <xdr:spPr>
          <a:xfrm>
            <a:off x="139" y="234"/>
            <a:ext cx="0" cy="16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"/>
          <xdr:cNvSpPr>
            <a:spLocks/>
          </xdr:cNvSpPr>
        </xdr:nvSpPr>
        <xdr:spPr>
          <a:xfrm>
            <a:off x="112" y="185"/>
            <a:ext cx="54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2"/>
          <xdr:cNvSpPr>
            <a:spLocks/>
          </xdr:cNvSpPr>
        </xdr:nvSpPr>
        <xdr:spPr>
          <a:xfrm>
            <a:off x="357" y="456"/>
            <a:ext cx="54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3"/>
          <xdr:cNvSpPr>
            <a:spLocks/>
          </xdr:cNvSpPr>
        </xdr:nvSpPr>
        <xdr:spPr>
          <a:xfrm>
            <a:off x="355" y="184"/>
            <a:ext cx="5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356" y="321"/>
            <a:ext cx="54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12"/>
          <xdr:cNvSpPr>
            <a:spLocks/>
          </xdr:cNvSpPr>
        </xdr:nvSpPr>
        <xdr:spPr>
          <a:xfrm>
            <a:off x="237" y="181"/>
            <a:ext cx="51" cy="5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Box 14"/>
          <xdr:cNvSpPr txBox="1">
            <a:spLocks noChangeArrowheads="1"/>
          </xdr:cNvSpPr>
        </xdr:nvSpPr>
        <xdr:spPr>
          <a:xfrm>
            <a:off x="117" y="302"/>
            <a:ext cx="1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  <xdr:sp>
        <xdr:nvSpPr>
          <xdr:cNvPr id="24" name="TextBox 15"/>
          <xdr:cNvSpPr txBox="1">
            <a:spLocks noChangeArrowheads="1"/>
          </xdr:cNvSpPr>
        </xdr:nvSpPr>
        <xdr:spPr>
          <a:xfrm>
            <a:off x="205" y="169"/>
            <a:ext cx="4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L_2^*</a:t>
            </a:r>
          </a:p>
        </xdr:txBody>
      </xdr:sp>
      <xdr:sp>
        <xdr:nvSpPr>
          <xdr:cNvPr id="25" name="TextBox 16"/>
          <xdr:cNvSpPr txBox="1">
            <a:spLocks noChangeArrowheads="1"/>
          </xdr:cNvSpPr>
        </xdr:nvSpPr>
        <xdr:spPr>
          <a:xfrm>
            <a:off x="322" y="218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1/3</a:t>
            </a:r>
          </a:p>
        </xdr:txBody>
      </xdr:sp>
      <xdr:sp>
        <xdr:nvSpPr>
          <xdr:cNvPr id="26" name="TextBox 19"/>
          <xdr:cNvSpPr txBox="1">
            <a:spLocks noChangeArrowheads="1"/>
          </xdr:cNvSpPr>
        </xdr:nvSpPr>
        <xdr:spPr>
          <a:xfrm>
            <a:off x="353" y="15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27" name="TextBox 20"/>
          <xdr:cNvSpPr txBox="1">
            <a:spLocks noChangeArrowheads="1"/>
          </xdr:cNvSpPr>
        </xdr:nvSpPr>
        <xdr:spPr>
          <a:xfrm>
            <a:off x="355" y="294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28" name="TextBox 21"/>
          <xdr:cNvSpPr txBox="1">
            <a:spLocks noChangeArrowheads="1"/>
          </xdr:cNvSpPr>
        </xdr:nvSpPr>
        <xdr:spPr>
          <a:xfrm>
            <a:off x="355" y="429"/>
            <a:ext cx="2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3</a:t>
            </a:r>
          </a:p>
        </xdr:txBody>
      </xdr:sp>
      <xdr:sp>
        <xdr:nvSpPr>
          <xdr:cNvPr id="29" name="TextBox 22"/>
          <xdr:cNvSpPr txBox="1">
            <a:spLocks noChangeArrowheads="1"/>
          </xdr:cNvSpPr>
        </xdr:nvSpPr>
        <xdr:spPr>
          <a:xfrm>
            <a:off x="317" y="349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1/3</a:t>
            </a:r>
          </a:p>
        </xdr:txBody>
      </xdr:sp>
      <xdr:sp>
        <xdr:nvSpPr>
          <xdr:cNvPr id="30" name="TextBox 23"/>
          <xdr:cNvSpPr txBox="1">
            <a:spLocks noChangeArrowheads="1"/>
          </xdr:cNvSpPr>
        </xdr:nvSpPr>
        <xdr:spPr>
          <a:xfrm>
            <a:off x="314" y="482"/>
            <a:ext cx="3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1/3</a:t>
            </a:r>
          </a:p>
        </xdr:txBody>
      </xdr:sp>
      <xdr:sp>
        <xdr:nvSpPr>
          <xdr:cNvPr id="31" name="AutoShape 24"/>
          <xdr:cNvSpPr>
            <a:spLocks/>
          </xdr:cNvSpPr>
        </xdr:nvSpPr>
        <xdr:spPr>
          <a:xfrm flipV="1">
            <a:off x="410" y="167"/>
            <a:ext cx="84" cy="4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25"/>
          <xdr:cNvSpPr>
            <a:spLocks/>
          </xdr:cNvSpPr>
        </xdr:nvSpPr>
        <xdr:spPr>
          <a:xfrm>
            <a:off x="410" y="210"/>
            <a:ext cx="84" cy="3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Oval 26"/>
          <xdr:cNvSpPr>
            <a:spLocks/>
          </xdr:cNvSpPr>
        </xdr:nvSpPr>
        <xdr:spPr>
          <a:xfrm>
            <a:off x="494" y="139"/>
            <a:ext cx="47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Box 27"/>
          <xdr:cNvSpPr txBox="1">
            <a:spLocks noChangeArrowheads="1"/>
          </xdr:cNvSpPr>
        </xdr:nvSpPr>
        <xdr:spPr>
          <a:xfrm>
            <a:off x="499" y="232"/>
            <a:ext cx="2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x_1</a:t>
            </a:r>
          </a:p>
        </xdr:txBody>
      </xdr:sp>
      <xdr:sp>
        <xdr:nvSpPr>
          <xdr:cNvPr id="35" name="TextBox 28"/>
          <xdr:cNvSpPr txBox="1">
            <a:spLocks noChangeArrowheads="1"/>
          </xdr:cNvSpPr>
        </xdr:nvSpPr>
        <xdr:spPr>
          <a:xfrm>
            <a:off x="462" y="140"/>
            <a:ext cx="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L_1</a:t>
            </a:r>
          </a:p>
        </xdr:txBody>
      </xdr:sp>
      <xdr:sp>
        <xdr:nvSpPr>
          <xdr:cNvPr id="36" name="AutoShape 43"/>
          <xdr:cNvSpPr>
            <a:spLocks/>
          </xdr:cNvSpPr>
        </xdr:nvSpPr>
        <xdr:spPr>
          <a:xfrm flipV="1">
            <a:off x="411" y="302"/>
            <a:ext cx="84" cy="4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44"/>
          <xdr:cNvSpPr>
            <a:spLocks/>
          </xdr:cNvSpPr>
        </xdr:nvSpPr>
        <xdr:spPr>
          <a:xfrm>
            <a:off x="411" y="345"/>
            <a:ext cx="84" cy="3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45"/>
          <xdr:cNvSpPr>
            <a:spLocks/>
          </xdr:cNvSpPr>
        </xdr:nvSpPr>
        <xdr:spPr>
          <a:xfrm>
            <a:off x="495" y="274"/>
            <a:ext cx="48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46"/>
          <xdr:cNvSpPr txBox="1">
            <a:spLocks noChangeArrowheads="1"/>
          </xdr:cNvSpPr>
        </xdr:nvSpPr>
        <xdr:spPr>
          <a:xfrm>
            <a:off x="501" y="367"/>
            <a:ext cx="2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x_2</a:t>
            </a:r>
          </a:p>
        </xdr:txBody>
      </xdr:sp>
      <xdr:sp>
        <xdr:nvSpPr>
          <xdr:cNvPr id="40" name="TextBox 47"/>
          <xdr:cNvSpPr txBox="1">
            <a:spLocks noChangeArrowheads="1"/>
          </xdr:cNvSpPr>
        </xdr:nvSpPr>
        <xdr:spPr>
          <a:xfrm>
            <a:off x="464" y="274"/>
            <a:ext cx="3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L_1</a:t>
            </a:r>
          </a:p>
        </xdr:txBody>
      </xdr:sp>
      <xdr:sp>
        <xdr:nvSpPr>
          <xdr:cNvPr id="41" name="AutoShape 49"/>
          <xdr:cNvSpPr>
            <a:spLocks/>
          </xdr:cNvSpPr>
        </xdr:nvSpPr>
        <xdr:spPr>
          <a:xfrm flipV="1">
            <a:off x="411" y="432"/>
            <a:ext cx="84" cy="4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50"/>
          <xdr:cNvSpPr>
            <a:spLocks/>
          </xdr:cNvSpPr>
        </xdr:nvSpPr>
        <xdr:spPr>
          <a:xfrm>
            <a:off x="411" y="474"/>
            <a:ext cx="84" cy="3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51"/>
          <xdr:cNvSpPr>
            <a:spLocks/>
          </xdr:cNvSpPr>
        </xdr:nvSpPr>
        <xdr:spPr>
          <a:xfrm>
            <a:off x="495" y="403"/>
            <a:ext cx="48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TextBox 52"/>
          <xdr:cNvSpPr txBox="1">
            <a:spLocks noChangeArrowheads="1"/>
          </xdr:cNvSpPr>
        </xdr:nvSpPr>
        <xdr:spPr>
          <a:xfrm>
            <a:off x="501" y="496"/>
            <a:ext cx="2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x_3</a:t>
            </a:r>
          </a:p>
        </xdr:txBody>
      </xdr:sp>
      <xdr:sp>
        <xdr:nvSpPr>
          <xdr:cNvPr id="45" name="TextBox 53"/>
          <xdr:cNvSpPr txBox="1">
            <a:spLocks noChangeArrowheads="1"/>
          </xdr:cNvSpPr>
        </xdr:nvSpPr>
        <xdr:spPr>
          <a:xfrm>
            <a:off x="467" y="404"/>
            <a:ext cx="3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L_1</a:t>
            </a:r>
          </a:p>
        </xdr:txBody>
      </xdr:sp>
      <xdr:sp>
        <xdr:nvSpPr>
          <xdr:cNvPr id="46" name="TextBox 54"/>
          <xdr:cNvSpPr txBox="1">
            <a:spLocks noChangeArrowheads="1"/>
          </xdr:cNvSpPr>
        </xdr:nvSpPr>
        <xdr:spPr>
          <a:xfrm>
            <a:off x="125" y="41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x_2</a:t>
            </a:r>
          </a:p>
        </xdr:txBody>
      </xdr:sp>
      <xdr:sp>
        <xdr:nvSpPr>
          <xdr:cNvPr id="47" name="TextBox 104"/>
          <xdr:cNvSpPr txBox="1">
            <a:spLocks noChangeArrowheads="1"/>
          </xdr:cNvSpPr>
        </xdr:nvSpPr>
        <xdr:spPr>
          <a:xfrm>
            <a:off x="111" y="16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J25" sqref="J25"/>
    </sheetView>
  </sheetViews>
  <sheetFormatPr defaultColWidth="9.00390625" defaultRowHeight="13.5"/>
  <cols>
    <col min="1" max="1" width="10.50390625" style="0" bestFit="1" customWidth="1"/>
  </cols>
  <sheetData>
    <row r="1" spans="1:2" ht="13.5">
      <c r="A1" s="1">
        <v>37094</v>
      </c>
      <c r="B1" s="15" t="s">
        <v>237</v>
      </c>
    </row>
    <row r="2" ht="13.5">
      <c r="A2" s="15" t="s">
        <v>235</v>
      </c>
    </row>
    <row r="3" ht="13.5">
      <c r="A3" t="s">
        <v>295</v>
      </c>
    </row>
    <row r="4" ht="13.5">
      <c r="A4" t="s">
        <v>296</v>
      </c>
    </row>
    <row r="5" ht="13.5">
      <c r="A5" s="125" t="s">
        <v>297</v>
      </c>
    </row>
    <row r="6" ht="13.5">
      <c r="A6" s="15" t="s">
        <v>236</v>
      </c>
    </row>
    <row r="7" ht="13.5">
      <c r="A7" t="s">
        <v>234</v>
      </c>
    </row>
    <row r="8" ht="13.5">
      <c r="A8" s="74" t="s">
        <v>287</v>
      </c>
    </row>
    <row r="9" ht="13.5">
      <c r="A9" s="15" t="s">
        <v>284</v>
      </c>
    </row>
    <row r="10" ht="13.5">
      <c r="A10" s="15" t="s">
        <v>285</v>
      </c>
    </row>
    <row r="11" ht="13.5">
      <c r="A11" s="15" t="s">
        <v>286</v>
      </c>
    </row>
    <row r="12" ht="13.5">
      <c r="A12" t="s">
        <v>238</v>
      </c>
    </row>
    <row r="13" ht="6.75" customHeight="1"/>
    <row r="14" spans="1:10" ht="14.25" thickBot="1">
      <c r="A14" t="s">
        <v>239</v>
      </c>
      <c r="B14" s="15" t="s">
        <v>241</v>
      </c>
      <c r="C14" s="15">
        <v>1</v>
      </c>
      <c r="D14" s="15">
        <v>2</v>
      </c>
      <c r="E14" s="15" t="s">
        <v>242</v>
      </c>
      <c r="F14" s="15" t="s">
        <v>282</v>
      </c>
      <c r="G14" t="s">
        <v>276</v>
      </c>
      <c r="I14" s="68" t="s">
        <v>278</v>
      </c>
      <c r="J14" t="s">
        <v>281</v>
      </c>
    </row>
    <row r="15" spans="2:10" ht="14.25" thickBot="1">
      <c r="B15" s="15" t="s">
        <v>240</v>
      </c>
      <c r="C15" s="101">
        <f ca="1">RAND()</f>
        <v>0.4255457568640361</v>
      </c>
      <c r="D15" s="102">
        <f ca="1">RAND()</f>
        <v>0.49620516169871154</v>
      </c>
      <c r="E15" s="102">
        <f>MIN(C15:D15)</f>
        <v>0.4255457568640361</v>
      </c>
      <c r="F15" s="102">
        <v>0.5</v>
      </c>
      <c r="G15" s="103" t="s">
        <v>277</v>
      </c>
      <c r="I15" s="68" t="s">
        <v>279</v>
      </c>
      <c r="J15" t="s">
        <v>280</v>
      </c>
    </row>
    <row r="16" ht="6.75" customHeight="1"/>
    <row r="17" spans="1:12" ht="13.5">
      <c r="A17" s="2" t="s">
        <v>243</v>
      </c>
      <c r="B17" s="118" t="s">
        <v>247</v>
      </c>
      <c r="C17" s="2"/>
      <c r="D17" s="2"/>
      <c r="E17" s="2"/>
      <c r="F17" s="2"/>
      <c r="G17" s="54"/>
      <c r="H17" s="2" t="s">
        <v>244</v>
      </c>
      <c r="I17" s="2"/>
      <c r="J17" s="2"/>
      <c r="K17" s="2"/>
      <c r="L17" s="2"/>
    </row>
    <row r="18" spans="1:8" ht="13.5">
      <c r="A18" t="s">
        <v>245</v>
      </c>
      <c r="B18" s="119">
        <f>1/3</f>
        <v>0.3333333333333333</v>
      </c>
      <c r="C18" s="120" t="s">
        <v>248</v>
      </c>
      <c r="D18" s="17"/>
      <c r="E18" s="17"/>
      <c r="F18" s="17"/>
      <c r="G18" s="121"/>
      <c r="H18" t="s">
        <v>262</v>
      </c>
    </row>
    <row r="19" spans="1:8" ht="13.5">
      <c r="A19" t="s">
        <v>246</v>
      </c>
      <c r="B19" s="119">
        <f>3/8</f>
        <v>0.375</v>
      </c>
      <c r="C19" s="120" t="s">
        <v>249</v>
      </c>
      <c r="D19" s="17"/>
      <c r="E19" s="17"/>
      <c r="F19" s="17"/>
      <c r="G19" s="121"/>
      <c r="H19" t="s">
        <v>263</v>
      </c>
    </row>
    <row r="20" spans="1:12" ht="13.5">
      <c r="A20" s="4" t="s">
        <v>258</v>
      </c>
      <c r="B20" s="122">
        <f>11/32</f>
        <v>0.34375</v>
      </c>
      <c r="C20" s="117" t="s">
        <v>250</v>
      </c>
      <c r="D20" s="4"/>
      <c r="E20" s="4"/>
      <c r="F20" s="4"/>
      <c r="G20" s="123"/>
      <c r="H20" s="4" t="s">
        <v>264</v>
      </c>
      <c r="I20" s="4"/>
      <c r="J20" s="4"/>
      <c r="K20" s="4"/>
      <c r="L20" s="4"/>
    </row>
    <row r="21" spans="1:3" ht="14.25" thickBot="1">
      <c r="A21" s="124" t="s">
        <v>283</v>
      </c>
      <c r="B21" s="97"/>
      <c r="C21" s="14"/>
    </row>
    <row r="22" spans="1:10" ht="36.75" customHeight="1" thickBot="1">
      <c r="A22" s="100">
        <f>SUMPRODUCT(D23:D26,I23:I26)/2</f>
        <v>0.34375</v>
      </c>
      <c r="B22" t="s">
        <v>251</v>
      </c>
      <c r="C22" s="66" t="s">
        <v>269</v>
      </c>
      <c r="D22" t="s">
        <v>274</v>
      </c>
      <c r="E22" t="s">
        <v>260</v>
      </c>
      <c r="F22" t="s">
        <v>261</v>
      </c>
      <c r="G22" s="98" t="s">
        <v>275</v>
      </c>
      <c r="H22" s="99" t="s">
        <v>259</v>
      </c>
      <c r="I22" t="s">
        <v>273</v>
      </c>
      <c r="J22" t="s">
        <v>265</v>
      </c>
    </row>
    <row r="23" spans="1:10" ht="13.5">
      <c r="A23" t="s">
        <v>254</v>
      </c>
      <c r="B23" s="104" t="s">
        <v>253</v>
      </c>
      <c r="C23" s="24" t="s">
        <v>268</v>
      </c>
      <c r="D23" s="105">
        <f>3/4</f>
        <v>0.75</v>
      </c>
      <c r="E23" s="105">
        <f>1/4</f>
        <v>0.25</v>
      </c>
      <c r="F23" s="105">
        <f>5/8</f>
        <v>0.625</v>
      </c>
      <c r="G23" s="106">
        <f>1/4</f>
        <v>0.25</v>
      </c>
      <c r="H23" s="105">
        <f>MATCH(I23,E23:F23,0)</f>
        <v>1</v>
      </c>
      <c r="I23" s="107">
        <f>MIN(E23:F23)</f>
        <v>0.25</v>
      </c>
      <c r="J23" t="s">
        <v>266</v>
      </c>
    </row>
    <row r="24" spans="1:10" ht="13.5">
      <c r="A24" t="s">
        <v>255</v>
      </c>
      <c r="B24" s="108" t="s">
        <v>253</v>
      </c>
      <c r="C24" s="27" t="s">
        <v>270</v>
      </c>
      <c r="D24" s="109">
        <f>1/4</f>
        <v>0.25</v>
      </c>
      <c r="E24" s="109">
        <f>1/4</f>
        <v>0.25</v>
      </c>
      <c r="F24" s="109">
        <f>1/8</f>
        <v>0.125</v>
      </c>
      <c r="G24" s="110">
        <f>1</f>
        <v>1</v>
      </c>
      <c r="H24" s="109">
        <f>MATCH(I24,E24:F24,0)</f>
        <v>2</v>
      </c>
      <c r="I24" s="111">
        <f>MIN(E24:F24)</f>
        <v>0.125</v>
      </c>
      <c r="J24" t="s">
        <v>267</v>
      </c>
    </row>
    <row r="25" spans="1:9" ht="13.5">
      <c r="A25" t="s">
        <v>256</v>
      </c>
      <c r="B25" s="108" t="s">
        <v>252</v>
      </c>
      <c r="C25" s="27" t="s">
        <v>271</v>
      </c>
      <c r="D25" s="109">
        <f>1/4</f>
        <v>0.25</v>
      </c>
      <c r="E25" s="109">
        <f>3/4</f>
        <v>0.75</v>
      </c>
      <c r="F25" s="109">
        <f>7/8</f>
        <v>0.875</v>
      </c>
      <c r="G25" s="110">
        <f>1/4</f>
        <v>0.25</v>
      </c>
      <c r="H25" s="109">
        <f>MATCH(I25,E25:F25,0)</f>
        <v>1</v>
      </c>
      <c r="I25" s="111">
        <f>MIN(E25:F25)</f>
        <v>0.75</v>
      </c>
    </row>
    <row r="26" spans="1:9" ht="13.5">
      <c r="A26" t="s">
        <v>257</v>
      </c>
      <c r="B26" s="112" t="s">
        <v>252</v>
      </c>
      <c r="C26" s="113" t="s">
        <v>272</v>
      </c>
      <c r="D26" s="114">
        <f>3/4</f>
        <v>0.75</v>
      </c>
      <c r="E26" s="114">
        <f>3/4</f>
        <v>0.75</v>
      </c>
      <c r="F26" s="114">
        <f>3/8</f>
        <v>0.375</v>
      </c>
      <c r="G26" s="115">
        <f>1/2</f>
        <v>0.5</v>
      </c>
      <c r="H26" s="114">
        <f>MATCH(I26,E26:F26,0)</f>
        <v>2</v>
      </c>
      <c r="I26" s="116">
        <f>MIN(E26:F26)</f>
        <v>0.375</v>
      </c>
    </row>
    <row r="45" spans="1:2" ht="13.5">
      <c r="A45" t="s">
        <v>288</v>
      </c>
      <c r="B45" t="s">
        <v>289</v>
      </c>
    </row>
    <row r="46" ht="13.5">
      <c r="B46" t="s">
        <v>290</v>
      </c>
    </row>
    <row r="47" ht="13.5">
      <c r="B47" t="s">
        <v>291</v>
      </c>
    </row>
    <row r="48" ht="13.5">
      <c r="B48" t="s">
        <v>292</v>
      </c>
    </row>
    <row r="49" spans="1:11" ht="13.5">
      <c r="A49" s="6" t="s">
        <v>293</v>
      </c>
      <c r="B49">
        <v>1</v>
      </c>
      <c r="C49">
        <v>2</v>
      </c>
      <c r="D49">
        <v>3</v>
      </c>
      <c r="E49">
        <v>4</v>
      </c>
      <c r="F49">
        <v>5</v>
      </c>
      <c r="G49">
        <v>6</v>
      </c>
      <c r="H49">
        <v>7</v>
      </c>
      <c r="I49">
        <v>8</v>
      </c>
      <c r="J49">
        <v>9</v>
      </c>
      <c r="K49">
        <v>10</v>
      </c>
    </row>
    <row r="50" spans="1:11" ht="13.5">
      <c r="A50" s="6" t="s">
        <v>294</v>
      </c>
      <c r="B50">
        <f aca="true" t="shared" si="0" ref="B50:K50">1/3+1/24*(B49^(-2))</f>
        <v>0.375</v>
      </c>
      <c r="C50">
        <f t="shared" si="0"/>
        <v>0.34375</v>
      </c>
      <c r="D50">
        <f t="shared" si="0"/>
        <v>0.33796296296296297</v>
      </c>
      <c r="E50">
        <f t="shared" si="0"/>
        <v>0.3359375</v>
      </c>
      <c r="F50">
        <f t="shared" si="0"/>
        <v>0.33499999999999996</v>
      </c>
      <c r="G50">
        <f t="shared" si="0"/>
        <v>0.3344907407407407</v>
      </c>
      <c r="H50">
        <f t="shared" si="0"/>
        <v>0.3341836734693877</v>
      </c>
      <c r="I50">
        <f t="shared" si="0"/>
        <v>0.333984375</v>
      </c>
      <c r="J50">
        <f t="shared" si="0"/>
        <v>0.33384773662551437</v>
      </c>
      <c r="K50">
        <f t="shared" si="0"/>
        <v>0.33375</v>
      </c>
    </row>
    <row r="70" spans="1:2" ht="13.5">
      <c r="A70" t="s">
        <v>298</v>
      </c>
      <c r="B70" t="s">
        <v>300</v>
      </c>
    </row>
    <row r="71" spans="1:2" ht="13.5">
      <c r="A71" t="s">
        <v>299</v>
      </c>
      <c r="B71" t="s">
        <v>301</v>
      </c>
    </row>
    <row r="72" ht="13.5">
      <c r="B72" t="s">
        <v>302</v>
      </c>
    </row>
  </sheetData>
  <printOptions/>
  <pageMargins left="0.75" right="0.75" top="1" bottom="1" header="0.512" footer="0.512"/>
  <pageSetup orientation="portrait" paperSize="9" r:id="rId4"/>
  <drawing r:id="rId3"/>
  <legacyDrawing r:id="rId2"/>
  <oleObjects>
    <oleObject progId="Equation.3" shapeId="6186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I28" sqref="I28"/>
    </sheetView>
  </sheetViews>
  <sheetFormatPr defaultColWidth="9.00390625" defaultRowHeight="13.5"/>
  <cols>
    <col min="1" max="1" width="10.50390625" style="0" bestFit="1" customWidth="1"/>
    <col min="7" max="7" width="9.25390625" style="0" bestFit="1" customWidth="1"/>
  </cols>
  <sheetData>
    <row r="1" spans="1:2" ht="13.5">
      <c r="A1" s="1">
        <v>37063</v>
      </c>
      <c r="B1" t="s">
        <v>0</v>
      </c>
    </row>
    <row r="2" spans="1:2" ht="13.5">
      <c r="A2" t="s">
        <v>1</v>
      </c>
      <c r="B2" t="s">
        <v>2</v>
      </c>
    </row>
    <row r="4" spans="1:10" ht="14.25" thickBot="1">
      <c r="A4" t="s">
        <v>3</v>
      </c>
      <c r="C4" t="s">
        <v>6</v>
      </c>
      <c r="D4" t="s">
        <v>7</v>
      </c>
      <c r="E4" t="s">
        <v>9</v>
      </c>
      <c r="F4" t="s">
        <v>10</v>
      </c>
      <c r="G4" t="s">
        <v>12</v>
      </c>
      <c r="H4" t="s">
        <v>13</v>
      </c>
      <c r="I4" t="s">
        <v>14</v>
      </c>
      <c r="J4" t="s">
        <v>15</v>
      </c>
    </row>
    <row r="5" spans="3:10" ht="13.5">
      <c r="C5" s="2" t="s">
        <v>4</v>
      </c>
      <c r="D5" s="2">
        <v>15</v>
      </c>
      <c r="E5" s="2">
        <v>1</v>
      </c>
      <c r="F5" s="9">
        <v>100</v>
      </c>
      <c r="G5" s="10">
        <v>0.5</v>
      </c>
      <c r="H5" s="2">
        <f>SUMPRODUCT(F5:F6,G5:G6)</f>
        <v>77.5</v>
      </c>
      <c r="I5" s="2">
        <f>SQRT(SUMPRODUCT((F5:F6-H$5)^2,G5:G6))</f>
        <v>22.5</v>
      </c>
      <c r="J5" s="2">
        <f>MIN(F5:F6)</f>
        <v>55</v>
      </c>
    </row>
    <row r="6" spans="6:9" ht="14.25" thickBot="1">
      <c r="F6" s="11">
        <v>55</v>
      </c>
      <c r="G6" s="12">
        <v>0.5</v>
      </c>
      <c r="I6" t="str">
        <f>"検算："&amp;SQRT(((F5-H5)^2+(F6-H5)^2)/2)</f>
        <v>検算：22.5</v>
      </c>
    </row>
    <row r="7" spans="3:10" ht="14.25" thickBot="1">
      <c r="C7" t="s">
        <v>6</v>
      </c>
      <c r="D7" t="s">
        <v>7</v>
      </c>
      <c r="E7" t="s">
        <v>9</v>
      </c>
      <c r="F7" t="s">
        <v>10</v>
      </c>
      <c r="G7" t="s">
        <v>12</v>
      </c>
      <c r="H7" t="s">
        <v>13</v>
      </c>
      <c r="I7" t="s">
        <v>14</v>
      </c>
      <c r="J7" t="s">
        <v>15</v>
      </c>
    </row>
    <row r="8" spans="3:10" ht="13.5">
      <c r="C8" s="2" t="s">
        <v>5</v>
      </c>
      <c r="D8" s="2">
        <v>20</v>
      </c>
      <c r="E8" s="2">
        <v>2</v>
      </c>
      <c r="F8" s="9">
        <v>240</v>
      </c>
      <c r="G8" s="10">
        <v>0.2</v>
      </c>
      <c r="H8" s="2">
        <f>SUMPRODUCT(F8:F9,G8:G9)</f>
        <v>48</v>
      </c>
      <c r="I8" s="2">
        <f>SQRT(SUMPRODUCT((F8:F9-H$8)^2,G8:G9))</f>
        <v>96</v>
      </c>
      <c r="J8" s="2">
        <f>MIN(F8:F9)</f>
        <v>0</v>
      </c>
    </row>
    <row r="9" spans="6:7" ht="14.25" thickBot="1">
      <c r="F9" s="11">
        <v>0</v>
      </c>
      <c r="G9" s="12">
        <v>0.8</v>
      </c>
    </row>
    <row r="10" spans="1:2" ht="13.5">
      <c r="A10" t="s">
        <v>16</v>
      </c>
      <c r="B10" s="5">
        <v>0.1</v>
      </c>
    </row>
    <row r="12" spans="2:3" ht="13.5">
      <c r="B12" t="str">
        <f>"ｖ（"&amp;C5&amp;"）＝"</f>
        <v>ｖ（α）＝</v>
      </c>
      <c r="C12" t="str">
        <f>-D5&amp;"＋（１/"&amp;(1+B$10)^E5&amp;"）"&amp;"［"&amp;G5&amp;"（"&amp;F5&amp;"）＋"&amp;G6&amp;"（"&amp;F6&amp;"）"&amp;"］"</f>
        <v>-15＋（１/1.1）［0.5（100）＋0.5（55）］</v>
      </c>
    </row>
    <row r="13" spans="2:3" ht="13.5">
      <c r="B13" s="7" t="str">
        <f>"　　＝"</f>
        <v>　　＝</v>
      </c>
      <c r="C13" s="8">
        <f>-D5+(1+B$10)^((-1)*E5)*H5</f>
        <v>55.45454545454545</v>
      </c>
    </row>
    <row r="15" spans="2:3" ht="13.5">
      <c r="B15" t="str">
        <f>"ｖ（"&amp;C8&amp;"）＝"</f>
        <v>ｖ（ω）＝</v>
      </c>
      <c r="C15" t="str">
        <f>-D8&amp;"＋（１/"&amp;(1+B$10)^E8&amp;"）"&amp;"［"&amp;G8&amp;"（"&amp;F8&amp;"）＋"&amp;G9&amp;"（"&amp;F9&amp;"）"&amp;"］"</f>
        <v>-20＋（１/1.21）［0.2（240）＋0.8（0）］</v>
      </c>
    </row>
    <row r="16" spans="2:3" ht="13.5">
      <c r="B16" s="7" t="str">
        <f>"　　＝"</f>
        <v>　　＝</v>
      </c>
      <c r="C16" s="8">
        <f>-D8+(1+B$10)^((-1)*E8)*H8</f>
        <v>19.6694214876033</v>
      </c>
    </row>
    <row r="18" spans="1:2" ht="13.5">
      <c r="A18" t="s">
        <v>18</v>
      </c>
      <c r="B18" t="s">
        <v>17</v>
      </c>
    </row>
    <row r="19" ht="13.5">
      <c r="B19" t="s">
        <v>19</v>
      </c>
    </row>
    <row r="20" ht="13.5">
      <c r="B20" t="s">
        <v>20</v>
      </c>
    </row>
    <row r="22" spans="2:3" ht="13.5">
      <c r="B22" s="6" t="str">
        <f>"ｖ（"&amp;C8&amp;"→"&amp;C5&amp;"）＝"</f>
        <v>ｖ（ω→α）＝</v>
      </c>
      <c r="C22" s="13" t="str">
        <f>-D8&amp;"＋（１/"&amp;(1+B$10)^E8&amp;"）"&amp;"［"&amp;G8&amp;"（"&amp;F8&amp;"）＋"&amp;G9&amp;"（"&amp;C12&amp;"）"&amp;"］"</f>
        <v>-20＋（１/1.21）［0.2（240）＋0.8（-15＋（１/1.1）［0.5（100）＋0.5（55）］）］</v>
      </c>
    </row>
    <row r="23" spans="2:3" ht="13.5">
      <c r="B23" s="7" t="str">
        <f>"　　＝"</f>
        <v>　　＝</v>
      </c>
      <c r="C23" s="8">
        <f>-D8+(1/(1+B$10)^E8*(G8*F8+G9*C13))</f>
        <v>56.3335837716003</v>
      </c>
    </row>
    <row r="25" spans="2:3" ht="13.5">
      <c r="B25" s="6" t="str">
        <f>"ｖ（"&amp;C5&amp;"→"&amp;C8&amp;"）＝"</f>
        <v>ｖ（α→ω）＝</v>
      </c>
      <c r="C25" t="str">
        <f>-D5&amp;"＋（１/"&amp;(1+B$10)^E5&amp;"）"&amp;"［"&amp;G5&amp;"（"&amp;F5&amp;"）＋"&amp;G6&amp;"（"&amp;C15&amp;"）"&amp;"］"</f>
        <v>-15＋（１/1.1）［0.5（100）＋0.5（-20＋（１/1.21）［0.2（240）＋0.8（0）］）］</v>
      </c>
    </row>
    <row r="26" spans="2:4" ht="13.5">
      <c r="B26" s="7" t="str">
        <f>"　　＝"</f>
        <v>　　＝</v>
      </c>
      <c r="C26" s="8">
        <f>-D5+(1+B$10)^((-1)*E5)*(F5*G5+G6*C16)</f>
        <v>39.395191585274226</v>
      </c>
      <c r="D26" t="s">
        <v>21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workbookViewId="0" topLeftCell="A1">
      <selection activeCell="G20" sqref="G20"/>
    </sheetView>
  </sheetViews>
  <sheetFormatPr defaultColWidth="9.00390625" defaultRowHeight="13.5"/>
  <sheetData>
    <row r="1" spans="1:2" ht="13.5">
      <c r="A1" t="s">
        <v>27</v>
      </c>
      <c r="B1" t="s">
        <v>22</v>
      </c>
    </row>
    <row r="2" ht="13.5">
      <c r="J2" s="14" t="s">
        <v>79</v>
      </c>
    </row>
    <row r="3" ht="13.5">
      <c r="B3" t="s">
        <v>23</v>
      </c>
    </row>
    <row r="4" ht="13.5">
      <c r="B4" t="s">
        <v>24</v>
      </c>
    </row>
    <row r="5" ht="13.5">
      <c r="B5" t="s">
        <v>25</v>
      </c>
    </row>
    <row r="7" ht="13.5">
      <c r="B7" t="s">
        <v>26</v>
      </c>
    </row>
    <row r="8" ht="13.5">
      <c r="B8" s="15" t="s">
        <v>41</v>
      </c>
    </row>
    <row r="9" ht="13.5">
      <c r="B9" s="15" t="s">
        <v>42</v>
      </c>
    </row>
    <row r="10" ht="13.5">
      <c r="B10" s="15" t="s">
        <v>28</v>
      </c>
    </row>
    <row r="13" ht="13.5">
      <c r="I13" s="14" t="s">
        <v>30</v>
      </c>
    </row>
    <row r="16" spans="1:2" ht="13.5">
      <c r="A16" t="s">
        <v>29</v>
      </c>
      <c r="B16" t="s">
        <v>77</v>
      </c>
    </row>
    <row r="18" spans="6:11" ht="13.5">
      <c r="F18" s="17" t="s">
        <v>32</v>
      </c>
      <c r="G18" s="17"/>
      <c r="H18" s="15" t="s">
        <v>35</v>
      </c>
      <c r="I18" s="17" t="s">
        <v>33</v>
      </c>
      <c r="J18" s="17"/>
      <c r="K18" s="17"/>
    </row>
    <row r="19" spans="6:11" ht="13.5">
      <c r="F19" s="3" t="s">
        <v>34</v>
      </c>
      <c r="G19" s="3"/>
      <c r="I19" s="3" t="s">
        <v>36</v>
      </c>
      <c r="J19" s="3"/>
      <c r="K19" s="3"/>
    </row>
    <row r="20" spans="5:11" ht="13.5">
      <c r="E20" s="14" t="s">
        <v>31</v>
      </c>
      <c r="F20" s="4" t="s">
        <v>37</v>
      </c>
      <c r="G20" s="4"/>
      <c r="I20" s="4" t="s">
        <v>38</v>
      </c>
      <c r="J20" s="4"/>
      <c r="K20" s="4"/>
    </row>
    <row r="23" spans="1:2" ht="13.5">
      <c r="A23" t="s">
        <v>39</v>
      </c>
      <c r="B23" t="s">
        <v>40</v>
      </c>
    </row>
  </sheetData>
  <printOptions/>
  <pageMargins left="0.75" right="0.75" top="1" bottom="1" header="0.512" footer="0.512"/>
  <pageSetup orientation="portrait" paperSize="9" r:id="rId6"/>
  <legacyDrawing r:id="rId5"/>
  <oleObjects>
    <oleObject progId="Equation.3" shapeId="1151469" r:id="rId1"/>
    <oleObject progId="Equation.3" shapeId="1178633" r:id="rId2"/>
    <oleObject progId="Equation.3" shapeId="1223729" r:id="rId3"/>
    <oleObject progId="Equation.3" shapeId="14240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G29"/>
  <sheetViews>
    <sheetView workbookViewId="0" topLeftCell="A1">
      <selection activeCell="I31" sqref="A28:I31"/>
    </sheetView>
  </sheetViews>
  <sheetFormatPr defaultColWidth="9.00390625" defaultRowHeight="13.5"/>
  <cols>
    <col min="6" max="6" width="10.25390625" style="0" customWidth="1"/>
    <col min="8" max="8" width="11.75390625" style="0" bestFit="1" customWidth="1"/>
    <col min="12" max="16384" width="7.50390625" style="0" customWidth="1"/>
  </cols>
  <sheetData>
    <row r="1" spans="1:33" ht="13.5">
      <c r="A1" t="s">
        <v>101</v>
      </c>
      <c r="K1" t="s">
        <v>71</v>
      </c>
      <c r="L1" s="9">
        <f aca="true" t="shared" si="0" ref="L1:AE1">$AG$1+$AG$2*NORMSINV(L5)</f>
        <v>3.7346382113173604</v>
      </c>
      <c r="M1" s="18">
        <f t="shared" si="0"/>
        <v>8.285026650701184</v>
      </c>
      <c r="N1" s="18">
        <f t="shared" si="0"/>
        <v>1.5399956636247225</v>
      </c>
      <c r="O1" s="18">
        <f t="shared" si="0"/>
        <v>7.652768671396188</v>
      </c>
      <c r="P1" s="18">
        <f t="shared" si="0"/>
        <v>1.5393817547010258</v>
      </c>
      <c r="Q1" s="18">
        <f t="shared" si="0"/>
        <v>4.23800942269736</v>
      </c>
      <c r="R1" s="18">
        <f t="shared" si="0"/>
        <v>1.8275710671150591</v>
      </c>
      <c r="S1" s="18">
        <f t="shared" si="0"/>
        <v>6.591756699781399</v>
      </c>
      <c r="T1" s="18">
        <f t="shared" si="0"/>
        <v>16.259689927101135</v>
      </c>
      <c r="U1" s="18">
        <f t="shared" si="0"/>
        <v>4.231979472824605</v>
      </c>
      <c r="V1" s="18">
        <f t="shared" si="0"/>
        <v>-0.3910616770735942</v>
      </c>
      <c r="W1" s="18">
        <f t="shared" si="0"/>
        <v>0.7809723127866164</v>
      </c>
      <c r="X1" s="18">
        <f t="shared" si="0"/>
        <v>-0.2626182878157124</v>
      </c>
      <c r="Y1" s="18">
        <f t="shared" si="0"/>
        <v>3.516188952635275</v>
      </c>
      <c r="Z1" s="18">
        <f t="shared" si="0"/>
        <v>2.221523244661512</v>
      </c>
      <c r="AA1" s="18">
        <f t="shared" si="0"/>
        <v>8.815362106251996</v>
      </c>
      <c r="AB1" s="18">
        <f t="shared" si="0"/>
        <v>3.0503616825444624</v>
      </c>
      <c r="AC1" s="18">
        <f t="shared" si="0"/>
        <v>2.670427092089085</v>
      </c>
      <c r="AD1" s="18">
        <f t="shared" si="0"/>
        <v>7.692734142328845</v>
      </c>
      <c r="AE1" s="10">
        <f t="shared" si="0"/>
        <v>3.8557829055935144</v>
      </c>
      <c r="AF1" t="s">
        <v>13</v>
      </c>
      <c r="AG1">
        <v>5</v>
      </c>
    </row>
    <row r="2" spans="1:33" ht="13.5">
      <c r="A2" t="s">
        <v>100</v>
      </c>
      <c r="K2" t="s">
        <v>72</v>
      </c>
      <c r="L2" s="19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20">
        <v>0</v>
      </c>
      <c r="AF2" t="s">
        <v>76</v>
      </c>
      <c r="AG2">
        <v>3</v>
      </c>
    </row>
    <row r="3" spans="11:31" ht="14.25" thickBot="1">
      <c r="K3" t="s">
        <v>73</v>
      </c>
      <c r="L3" s="11">
        <f>NORMSDIST(L5-0.5)</f>
        <v>0.43509786864069633</v>
      </c>
      <c r="M3" s="16">
        <f aca="true" t="shared" si="1" ref="M3:AE3">NORMSDIST(M5-0.5)</f>
        <v>0.6417883928829617</v>
      </c>
      <c r="N3" s="16">
        <f t="shared" si="1"/>
        <v>0.3536022025737794</v>
      </c>
      <c r="O3" s="16">
        <f t="shared" si="1"/>
        <v>0.6223736929251416</v>
      </c>
      <c r="P3" s="16">
        <f t="shared" si="1"/>
        <v>0.35358660766148875</v>
      </c>
      <c r="Q3" s="16">
        <f t="shared" si="1"/>
        <v>0.4600724259658231</v>
      </c>
      <c r="R3" s="16">
        <f t="shared" si="1"/>
        <v>0.36135000176302445</v>
      </c>
      <c r="S3" s="16">
        <f t="shared" si="1"/>
        <v>0.5800991887374719</v>
      </c>
      <c r="T3" s="16">
        <f t="shared" si="1"/>
        <v>0.691431641635476</v>
      </c>
      <c r="U3" s="16">
        <f t="shared" si="1"/>
        <v>0.4597644173783121</v>
      </c>
      <c r="V3" s="16">
        <f t="shared" si="1"/>
        <v>0.32138340406137633</v>
      </c>
      <c r="W3" s="16">
        <f t="shared" si="1"/>
        <v>0.3371737683955731</v>
      </c>
      <c r="X3" s="16">
        <f t="shared" si="1"/>
        <v>0.3226495447073563</v>
      </c>
      <c r="Y3" s="16">
        <f t="shared" si="1"/>
        <v>0.42482686689583793</v>
      </c>
      <c r="Z3" s="16">
        <f t="shared" si="1"/>
        <v>0.37341640036996726</v>
      </c>
      <c r="AA3" s="16">
        <f t="shared" si="1"/>
        <v>0.6547864766236369</v>
      </c>
      <c r="AB3" s="16">
        <f t="shared" si="1"/>
        <v>0.4043455115560184</v>
      </c>
      <c r="AC3" s="16">
        <f t="shared" si="1"/>
        <v>0.3892477864068421</v>
      </c>
      <c r="AD3" s="16">
        <f t="shared" si="1"/>
        <v>0.6237309086418509</v>
      </c>
      <c r="AE3" s="12">
        <f t="shared" si="1"/>
        <v>0.44095488734695776</v>
      </c>
    </row>
    <row r="4" spans="11:31" ht="13.5">
      <c r="K4" t="s">
        <v>78</v>
      </c>
      <c r="L4">
        <f>L1*L3-L2</f>
        <v>1.624933125888286</v>
      </c>
      <c r="M4">
        <f aca="true" t="shared" si="2" ref="M4:AE4">M1*M3-M2</f>
        <v>5.31723393914602</v>
      </c>
      <c r="N4">
        <f t="shared" si="2"/>
        <v>0.544545858611771</v>
      </c>
      <c r="O4">
        <f t="shared" si="2"/>
        <v>4.762881899118675</v>
      </c>
      <c r="P4">
        <f t="shared" si="2"/>
        <v>0.5443047725407257</v>
      </c>
      <c r="Q4">
        <f t="shared" si="2"/>
        <v>1.9497912763663916</v>
      </c>
      <c r="R4">
        <f t="shared" si="2"/>
        <v>0.6603928083240791</v>
      </c>
      <c r="S4">
        <f t="shared" si="2"/>
        <v>3.823872713897985</v>
      </c>
      <c r="T4">
        <f t="shared" si="2"/>
        <v>11.242464098779351</v>
      </c>
      <c r="U4">
        <f t="shared" si="2"/>
        <v>1.945713576680181</v>
      </c>
      <c r="V4">
        <f t="shared" si="2"/>
        <v>-0.12568073297586238</v>
      </c>
      <c r="W4">
        <f t="shared" si="2"/>
        <v>0.2633233777148697</v>
      </c>
      <c r="X4">
        <f t="shared" si="2"/>
        <v>-0.08473367099556506</v>
      </c>
      <c r="Y4">
        <f t="shared" si="2"/>
        <v>1.4937715361618018</v>
      </c>
      <c r="Z4">
        <f t="shared" si="2"/>
        <v>0.8295532133597119</v>
      </c>
      <c r="AA4">
        <f t="shared" si="2"/>
        <v>5.7721798937142665</v>
      </c>
      <c r="AB4">
        <f t="shared" si="2"/>
        <v>1.2334000549593176</v>
      </c>
      <c r="AC4">
        <f t="shared" si="2"/>
        <v>1.0394578343565366</v>
      </c>
      <c r="AD4">
        <f t="shared" si="2"/>
        <v>4.79819605653496</v>
      </c>
      <c r="AE4">
        <f t="shared" si="2"/>
        <v>1.7002263167703136</v>
      </c>
    </row>
    <row r="5" spans="11:31" ht="13.5">
      <c r="K5" t="s">
        <v>74</v>
      </c>
      <c r="L5">
        <v>0.3365901554181996</v>
      </c>
      <c r="M5">
        <v>0.8632433621381543</v>
      </c>
      <c r="N5">
        <v>0.12438655881372807</v>
      </c>
      <c r="O5">
        <v>0.8117211096233297</v>
      </c>
      <c r="P5">
        <v>0.12434461072060898</v>
      </c>
      <c r="Q5">
        <v>0.39974888710082657</v>
      </c>
      <c r="R5">
        <v>0.14514721721770973</v>
      </c>
      <c r="S5">
        <v>0.7021472951272993</v>
      </c>
      <c r="T5">
        <v>0.9999124452068413</v>
      </c>
      <c r="U5">
        <v>0.39897290312076167</v>
      </c>
      <c r="V5">
        <v>0.036166138468905484</v>
      </c>
      <c r="W5">
        <v>0.07981110265130525</v>
      </c>
      <c r="X5">
        <v>0.039697432451140546</v>
      </c>
      <c r="Y5">
        <v>0.3104397078130996</v>
      </c>
      <c r="Z5">
        <v>0.1771814593939327</v>
      </c>
      <c r="AA5">
        <v>0.898275720849139</v>
      </c>
      <c r="AB5">
        <v>0.25788483338976165</v>
      </c>
      <c r="AC5">
        <v>0.2187197391134701</v>
      </c>
      <c r="AD5">
        <v>0.8152945110211907</v>
      </c>
      <c r="AE5">
        <v>0.35145137638845547</v>
      </c>
    </row>
    <row r="6" ht="13.5">
      <c r="K6" t="s">
        <v>70</v>
      </c>
    </row>
    <row r="7" spans="1:31" ht="13.5">
      <c r="A7" t="s">
        <v>48</v>
      </c>
      <c r="B7" s="15" t="s">
        <v>43</v>
      </c>
      <c r="C7" t="s">
        <v>11</v>
      </c>
      <c r="D7" t="s">
        <v>8</v>
      </c>
      <c r="E7" t="s">
        <v>44</v>
      </c>
      <c r="F7" s="15" t="s">
        <v>75</v>
      </c>
      <c r="G7" s="15" t="s">
        <v>45</v>
      </c>
      <c r="H7" t="s">
        <v>46</v>
      </c>
      <c r="I7" t="s">
        <v>47</v>
      </c>
      <c r="J7" t="s">
        <v>49</v>
      </c>
      <c r="L7" t="s">
        <v>50</v>
      </c>
      <c r="M7" t="s">
        <v>51</v>
      </c>
      <c r="N7" t="s">
        <v>52</v>
      </c>
      <c r="O7" t="s">
        <v>53</v>
      </c>
      <c r="P7" t="s">
        <v>54</v>
      </c>
      <c r="Q7" t="s">
        <v>55</v>
      </c>
      <c r="R7" t="s">
        <v>56</v>
      </c>
      <c r="S7" t="s">
        <v>57</v>
      </c>
      <c r="T7" t="s">
        <v>58</v>
      </c>
      <c r="U7" t="s">
        <v>59</v>
      </c>
      <c r="V7" t="s">
        <v>60</v>
      </c>
      <c r="W7" t="s">
        <v>61</v>
      </c>
      <c r="X7" t="s">
        <v>62</v>
      </c>
      <c r="Y7" t="s">
        <v>63</v>
      </c>
      <c r="Z7" t="s">
        <v>64</v>
      </c>
      <c r="AA7" t="s">
        <v>65</v>
      </c>
      <c r="AB7" t="s">
        <v>66</v>
      </c>
      <c r="AC7" t="s">
        <v>67</v>
      </c>
      <c r="AD7" t="s">
        <v>68</v>
      </c>
      <c r="AE7" t="s">
        <v>69</v>
      </c>
    </row>
    <row r="8" spans="1:31" ht="13.5">
      <c r="A8">
        <f ca="1">RAND()</f>
        <v>0.44222004304602214</v>
      </c>
      <c r="B8" s="15">
        <v>0</v>
      </c>
      <c r="C8">
        <f>IF(G7="STOP","terminated",INDEX($L$1:$AE$1,,MATCH(MAX(L8:AE8),L8:AE8,0)))</f>
        <v>16.259689927101135</v>
      </c>
      <c r="D8">
        <f aca="true" t="shared" si="3" ref="D8:D28">IF(G7="STOP","terminated",INDEX($L$2:$AE$2,,MATCH(MAX(L8:AE8),L8:AE8,0)))</f>
        <v>0</v>
      </c>
      <c r="E8">
        <f>IF(G7="STOP","terminated",INDEX($L$3:$AE$3,,MATCH(MAX(L8:AE8),L8:AE8,0)))</f>
        <v>0.691431641635476</v>
      </c>
      <c r="F8" s="15">
        <f aca="true" t="shared" si="4" ref="F8:F28">MAX(L8:AE8)</f>
        <v>16.259689927101135</v>
      </c>
      <c r="G8" s="15" t="str">
        <f>IF(F8&lt;J8,"STOP",INDEX($L$7:$AE$7,,MATCH(MAX(L8:AE8),L8:AE8,0)))</f>
        <v>box9</v>
      </c>
      <c r="H8">
        <f>IF(G7="STOP","terminated",(-D8+E8*C8))</f>
        <v>11.242464098779351</v>
      </c>
      <c r="I8">
        <f aca="true" t="shared" si="5" ref="I8:I28">IF(A8&lt;E8,C8,0)</f>
        <v>16.259689927101135</v>
      </c>
      <c r="J8">
        <f>MAX(I$8:I8)</f>
        <v>16.259689927101135</v>
      </c>
      <c r="L8">
        <f>IF(ISERROR(MATCH(L$7,$G$7:$G7,0)),(L$3*L$1-L$2)/L$3,-9)</f>
        <v>3.7346382113173604</v>
      </c>
      <c r="M8">
        <f>IF(ISERROR(MATCH(M$7,$G$7:$G7,0)),(M$3*M$1-M$2)/M$3,-9)</f>
        <v>8.285026650701184</v>
      </c>
      <c r="N8">
        <f>IF(ISERROR(MATCH(N$7,$G$7:$G7,0)),(N$3*N$1-N$2)/N$3,-9)</f>
        <v>1.5399956636247225</v>
      </c>
      <c r="O8">
        <f>IF(ISERROR(MATCH(O$7,$G$7:$G7,0)),(O$3*O$1-O$2)/O$3,-9)</f>
        <v>7.652768671396188</v>
      </c>
      <c r="P8">
        <f>IF(ISERROR(MATCH(P$7,$G$7:$G7,0)),(P$3*P$1-P$2)/P$3,-9)</f>
        <v>1.5393817547010258</v>
      </c>
      <c r="Q8">
        <f>IF(ISERROR(MATCH(Q$7,$G$7:$G7,0)),(Q$3*Q$1-Q$2)/Q$3,-9)</f>
        <v>4.23800942269736</v>
      </c>
      <c r="R8">
        <f>IF(ISERROR(MATCH(R$7,$G$7:$G7,0)),(R$3*R$1-R$2)/R$3,-9)</f>
        <v>1.8275710671150591</v>
      </c>
      <c r="S8">
        <f>IF(ISERROR(MATCH(S$7,$G$7:$G7,0)),(S$3*S$1-S$2)/S$3,-9)</f>
        <v>6.591756699781399</v>
      </c>
      <c r="T8">
        <f>IF(ISERROR(MATCH(T$7,$G$7:$G7,0)),(T$3*T$1-T$2)/T$3,-9)</f>
        <v>16.259689927101135</v>
      </c>
      <c r="U8">
        <f>IF(ISERROR(MATCH(U$7,$G$7:$G7,0)),(U$3*U$1-U$2)/U$3,-9)</f>
        <v>4.231979472824605</v>
      </c>
      <c r="V8">
        <f>IF(ISERROR(MATCH(V$7,$G$7:$G7,0)),(V$3*V$1-V$2)/V$3,-9)</f>
        <v>-0.3910616770735942</v>
      </c>
      <c r="W8">
        <f>IF(ISERROR(MATCH(W$7,$G$7:$G7,0)),(W$3*W$1-W$2)/W$3,-9)</f>
        <v>0.7809723127866164</v>
      </c>
      <c r="X8">
        <f>IF(ISERROR(MATCH(X$7,$G$7:$G7,0)),(X$3*X$1-X$2)/X$3,-9)</f>
        <v>-0.2626182878157124</v>
      </c>
      <c r="Y8">
        <f>IF(ISERROR(MATCH(Y$7,$G$7:$G7,0)),(Y$3*Y$1-Y$2)/Y$3,-9)</f>
        <v>3.516188952635275</v>
      </c>
      <c r="Z8">
        <f>IF(ISERROR(MATCH(Z$7,$G$7:$G7,0)),(Z$3*Z$1-Z$2)/Z$3,-9)</f>
        <v>2.221523244661512</v>
      </c>
      <c r="AA8">
        <f>IF(ISERROR(MATCH(AA$7,$G$7:$G7,0)),(AA$3*AA$1-AA$2)/AA$3,-9)</f>
        <v>8.815362106251996</v>
      </c>
      <c r="AB8">
        <f>IF(ISERROR(MATCH(AB$7,$G$7:$G7,0)),(AB$3*AB$1-AB$2)/AB$3,-9)</f>
        <v>3.0503616825444624</v>
      </c>
      <c r="AC8">
        <f>IF(ISERROR(MATCH(AC$7,$G$7:$G7,0)),(AC$3*AC$1-AC$2)/AC$3,-9)</f>
        <v>2.670427092089085</v>
      </c>
      <c r="AD8">
        <f>IF(ISERROR(MATCH(AD$7,$G$7:$G7,0)),(AD$3*AD$1-AD$2)/AD$3,-9)</f>
        <v>7.6927341423288444</v>
      </c>
      <c r="AE8">
        <f>IF(ISERROR(MATCH(AE$7,$G$7:$G7,0)),(AE$3*AE$1-AE$2)/AE$3,-9)</f>
        <v>3.8557829055935144</v>
      </c>
    </row>
    <row r="9" spans="1:31" ht="13.5">
      <c r="A9">
        <f aca="true" ca="1" t="shared" si="6" ref="A9:A28">RAND()</f>
        <v>0.25436975498341363</v>
      </c>
      <c r="B9" s="15">
        <v>1</v>
      </c>
      <c r="C9">
        <f aca="true" t="shared" si="7" ref="C9:C28">IF(G8="STOP","terminated",INDEX($L$1:$AE$1,,MATCH(MAX(L9:AE9),L9:AE9,0)))</f>
        <v>8.815362106251996</v>
      </c>
      <c r="D9">
        <f t="shared" si="3"/>
        <v>0</v>
      </c>
      <c r="E9">
        <f aca="true" t="shared" si="8" ref="E9:E28">IF(G8="STOP","terminated",INDEX($L$3:$AE$3,,MATCH(MAX(L9:AE9),L9:AE9,0)))</f>
        <v>0.6547864766236369</v>
      </c>
      <c r="F9" s="15">
        <f t="shared" si="4"/>
        <v>8.815362106251996</v>
      </c>
      <c r="G9" s="15" t="str">
        <f aca="true" t="shared" si="9" ref="G9:G28">IF(F9&lt;J9,"STOP",INDEX($L$7:$AE$7,,MATCH(MAX(L9:AE9),L9:AE9,0)))</f>
        <v>STOP</v>
      </c>
      <c r="H9">
        <f aca="true" t="shared" si="10" ref="H9:H28">IF(G8="STOP","terminated",(-D9+E9*C9))</f>
        <v>5.7721798937142665</v>
      </c>
      <c r="I9">
        <f t="shared" si="5"/>
        <v>8.815362106251996</v>
      </c>
      <c r="J9">
        <f>MAX(I$8:I9)</f>
        <v>16.259689927101135</v>
      </c>
      <c r="L9">
        <f>IF(ISERROR(MATCH(L$7,$G$7:$G8,0)),(L$3*L$1-L$2)/L$3,-9)</f>
        <v>3.7346382113173604</v>
      </c>
      <c r="M9">
        <f>IF(ISERROR(MATCH(M$7,$G$7:$G8,0)),(M$3*M$1-M$2)/M$3,-9)</f>
        <v>8.285026650701184</v>
      </c>
      <c r="N9">
        <f>IF(ISERROR(MATCH(N$7,$G$7:$G8,0)),(N$3*N$1-N$2)/N$3,-9)</f>
        <v>1.5399956636247225</v>
      </c>
      <c r="O9">
        <f>IF(ISERROR(MATCH(O$7,$G$7:$G8,0)),(O$3*O$1-O$2)/O$3,-9)</f>
        <v>7.652768671396188</v>
      </c>
      <c r="P9">
        <f>IF(ISERROR(MATCH(P$7,$G$7:$G8,0)),(P$3*P$1-P$2)/P$3,-9)</f>
        <v>1.5393817547010258</v>
      </c>
      <c r="Q9">
        <f>IF(ISERROR(MATCH(Q$7,$G$7:$G8,0)),(Q$3*Q$1-Q$2)/Q$3,-9)</f>
        <v>4.23800942269736</v>
      </c>
      <c r="R9">
        <f>IF(ISERROR(MATCH(R$7,$G$7:$G8,0)),(R$3*R$1-R$2)/R$3,-9)</f>
        <v>1.8275710671150591</v>
      </c>
      <c r="S9">
        <f>IF(ISERROR(MATCH(S$7,$G$7:$G8,0)),(S$3*S$1-S$2)/S$3,-9)</f>
        <v>6.591756699781399</v>
      </c>
      <c r="T9">
        <f>IF(ISERROR(MATCH(T$7,$G$7:$G8,0)),(T$3*T$1-T$2)/T$3,-9)</f>
        <v>-9</v>
      </c>
      <c r="U9">
        <f>IF(ISERROR(MATCH(U$7,$G$7:$G8,0)),(U$3*U$1-U$2)/U$3,-9)</f>
        <v>4.231979472824605</v>
      </c>
      <c r="V9">
        <f>IF(ISERROR(MATCH(V$7,$G$7:$G8,0)),(V$3*V$1-V$2)/V$3,-9)</f>
        <v>-0.3910616770735942</v>
      </c>
      <c r="W9">
        <f>IF(ISERROR(MATCH(W$7,$G$7:$G8,0)),(W$3*W$1-W$2)/W$3,-9)</f>
        <v>0.7809723127866164</v>
      </c>
      <c r="X9">
        <f>IF(ISERROR(MATCH(X$7,$G$7:$G8,0)),(X$3*X$1-X$2)/X$3,-9)</f>
        <v>-0.2626182878157124</v>
      </c>
      <c r="Y9">
        <f>IF(ISERROR(MATCH(Y$7,$G$7:$G8,0)),(Y$3*Y$1-Y$2)/Y$3,-9)</f>
        <v>3.516188952635275</v>
      </c>
      <c r="Z9">
        <f>IF(ISERROR(MATCH(Z$7,$G$7:$G8,0)),(Z$3*Z$1-Z$2)/Z$3,-9)</f>
        <v>2.221523244661512</v>
      </c>
      <c r="AA9">
        <f>IF(ISERROR(MATCH(AA$7,$G$7:$G8,0)),(AA$3*AA$1-AA$2)/AA$3,-9)</f>
        <v>8.815362106251996</v>
      </c>
      <c r="AB9">
        <f>IF(ISERROR(MATCH(AB$7,$G$7:$G8,0)),(AB$3*AB$1-AB$2)/AB$3,-9)</f>
        <v>3.0503616825444624</v>
      </c>
      <c r="AC9">
        <f>IF(ISERROR(MATCH(AC$7,$G$7:$G8,0)),(AC$3*AC$1-AC$2)/AC$3,-9)</f>
        <v>2.670427092089085</v>
      </c>
      <c r="AD9">
        <f>IF(ISERROR(MATCH(AD$7,$G$7:$G8,0)),(AD$3*AD$1-AD$2)/AD$3,-9)</f>
        <v>7.6927341423288444</v>
      </c>
      <c r="AE9">
        <f>IF(ISERROR(MATCH(AE$7,$G$7:$G8,0)),(AE$3*AE$1-AE$2)/AE$3,-9)</f>
        <v>3.8557829055935144</v>
      </c>
    </row>
    <row r="10" spans="1:31" ht="13.5">
      <c r="A10">
        <f ca="1" t="shared" si="6"/>
        <v>0.3766906921052777</v>
      </c>
      <c r="B10" s="15">
        <v>2</v>
      </c>
      <c r="C10" t="str">
        <f t="shared" si="7"/>
        <v>terminated</v>
      </c>
      <c r="D10" t="str">
        <f t="shared" si="3"/>
        <v>terminated</v>
      </c>
      <c r="E10" t="str">
        <f t="shared" si="8"/>
        <v>terminated</v>
      </c>
      <c r="F10" s="15">
        <f t="shared" si="4"/>
        <v>8.815362106251996</v>
      </c>
      <c r="G10" s="15" t="str">
        <f t="shared" si="9"/>
        <v>STOP</v>
      </c>
      <c r="H10" t="str">
        <f t="shared" si="10"/>
        <v>terminated</v>
      </c>
      <c r="I10" t="str">
        <f t="shared" si="5"/>
        <v>terminated</v>
      </c>
      <c r="J10">
        <f>MAX(I$8:I10)</f>
        <v>16.259689927101135</v>
      </c>
      <c r="L10">
        <f>IF(ISERROR(MATCH(L$7,$G$7:$G9,0)),(L$3*L$1-L$2)/L$3,-9)</f>
        <v>3.7346382113173604</v>
      </c>
      <c r="M10">
        <f>IF(ISERROR(MATCH(M$7,$G$7:$G9,0)),(M$3*M$1-M$2)/M$3,-9)</f>
        <v>8.285026650701184</v>
      </c>
      <c r="N10">
        <f>IF(ISERROR(MATCH(N$7,$G$7:$G9,0)),(N$3*N$1-N$2)/N$3,-9)</f>
        <v>1.5399956636247225</v>
      </c>
      <c r="O10">
        <f>IF(ISERROR(MATCH(O$7,$G$7:$G9,0)),(O$3*O$1-O$2)/O$3,-9)</f>
        <v>7.652768671396188</v>
      </c>
      <c r="P10">
        <f>IF(ISERROR(MATCH(P$7,$G$7:$G9,0)),(P$3*P$1-P$2)/P$3,-9)</f>
        <v>1.5393817547010258</v>
      </c>
      <c r="Q10">
        <f>IF(ISERROR(MATCH(Q$7,$G$7:$G9,0)),(Q$3*Q$1-Q$2)/Q$3,-9)</f>
        <v>4.23800942269736</v>
      </c>
      <c r="R10">
        <f>IF(ISERROR(MATCH(R$7,$G$7:$G9,0)),(R$3*R$1-R$2)/R$3,-9)</f>
        <v>1.8275710671150591</v>
      </c>
      <c r="S10">
        <f>IF(ISERROR(MATCH(S$7,$G$7:$G9,0)),(S$3*S$1-S$2)/S$3,-9)</f>
        <v>6.591756699781399</v>
      </c>
      <c r="T10">
        <f>IF(ISERROR(MATCH(T$7,$G$7:$G9,0)),(T$3*T$1-T$2)/T$3,-9)</f>
        <v>-9</v>
      </c>
      <c r="U10">
        <f>IF(ISERROR(MATCH(U$7,$G$7:$G9,0)),(U$3*U$1-U$2)/U$3,-9)</f>
        <v>4.231979472824605</v>
      </c>
      <c r="V10">
        <f>IF(ISERROR(MATCH(V$7,$G$7:$G9,0)),(V$3*V$1-V$2)/V$3,-9)</f>
        <v>-0.3910616770735942</v>
      </c>
      <c r="W10">
        <f>IF(ISERROR(MATCH(W$7,$G$7:$G9,0)),(W$3*W$1-W$2)/W$3,-9)</f>
        <v>0.7809723127866164</v>
      </c>
      <c r="X10">
        <f>IF(ISERROR(MATCH(X$7,$G$7:$G9,0)),(X$3*X$1-X$2)/X$3,-9)</f>
        <v>-0.2626182878157124</v>
      </c>
      <c r="Y10">
        <f>IF(ISERROR(MATCH(Y$7,$G$7:$G9,0)),(Y$3*Y$1-Y$2)/Y$3,-9)</f>
        <v>3.516188952635275</v>
      </c>
      <c r="Z10">
        <f>IF(ISERROR(MATCH(Z$7,$G$7:$G9,0)),(Z$3*Z$1-Z$2)/Z$3,-9)</f>
        <v>2.221523244661512</v>
      </c>
      <c r="AA10">
        <f>IF(ISERROR(MATCH(AA$7,$G$7:$G9,0)),(AA$3*AA$1-AA$2)/AA$3,-9)</f>
        <v>8.815362106251996</v>
      </c>
      <c r="AB10">
        <f>IF(ISERROR(MATCH(AB$7,$G$7:$G9,0)),(AB$3*AB$1-AB$2)/AB$3,-9)</f>
        <v>3.0503616825444624</v>
      </c>
      <c r="AC10">
        <f>IF(ISERROR(MATCH(AC$7,$G$7:$G9,0)),(AC$3*AC$1-AC$2)/AC$3,-9)</f>
        <v>2.670427092089085</v>
      </c>
      <c r="AD10">
        <f>IF(ISERROR(MATCH(AD$7,$G$7:$G9,0)),(AD$3*AD$1-AD$2)/AD$3,-9)</f>
        <v>7.6927341423288444</v>
      </c>
      <c r="AE10">
        <f>IF(ISERROR(MATCH(AE$7,$G$7:$G9,0)),(AE$3*AE$1-AE$2)/AE$3,-9)</f>
        <v>3.8557829055935144</v>
      </c>
    </row>
    <row r="11" spans="1:31" ht="13.5">
      <c r="A11">
        <f ca="1" t="shared" si="6"/>
        <v>0.6906141659325336</v>
      </c>
      <c r="B11" s="15">
        <v>3</v>
      </c>
      <c r="C11" t="str">
        <f t="shared" si="7"/>
        <v>terminated</v>
      </c>
      <c r="D11" t="str">
        <f t="shared" si="3"/>
        <v>terminated</v>
      </c>
      <c r="E11" t="str">
        <f t="shared" si="8"/>
        <v>terminated</v>
      </c>
      <c r="F11" s="15">
        <f t="shared" si="4"/>
        <v>8.815362106251996</v>
      </c>
      <c r="G11" s="15" t="str">
        <f t="shared" si="9"/>
        <v>STOP</v>
      </c>
      <c r="H11" t="str">
        <f t="shared" si="10"/>
        <v>terminated</v>
      </c>
      <c r="I11" t="str">
        <f t="shared" si="5"/>
        <v>terminated</v>
      </c>
      <c r="J11">
        <f>MAX(I$8:I11)</f>
        <v>16.259689927101135</v>
      </c>
      <c r="L11">
        <f>IF(ISERROR(MATCH(L$7,$G$7:$G10,0)),(L$3*L$1-L$2)/L$3,-9)</f>
        <v>3.7346382113173604</v>
      </c>
      <c r="M11">
        <f>IF(ISERROR(MATCH(M$7,$G$7:$G10,0)),(M$3*M$1-M$2)/M$3,-9)</f>
        <v>8.285026650701184</v>
      </c>
      <c r="N11">
        <f>IF(ISERROR(MATCH(N$7,$G$7:$G10,0)),(N$3*N$1-N$2)/N$3,-9)</f>
        <v>1.5399956636247225</v>
      </c>
      <c r="O11">
        <f>IF(ISERROR(MATCH(O$7,$G$7:$G10,0)),(O$3*O$1-O$2)/O$3,-9)</f>
        <v>7.652768671396188</v>
      </c>
      <c r="P11">
        <f>IF(ISERROR(MATCH(P$7,$G$7:$G10,0)),(P$3*P$1-P$2)/P$3,-9)</f>
        <v>1.5393817547010258</v>
      </c>
      <c r="Q11">
        <f>IF(ISERROR(MATCH(Q$7,$G$7:$G10,0)),(Q$3*Q$1-Q$2)/Q$3,-9)</f>
        <v>4.23800942269736</v>
      </c>
      <c r="R11">
        <f>IF(ISERROR(MATCH(R$7,$G$7:$G10,0)),(R$3*R$1-R$2)/R$3,-9)</f>
        <v>1.8275710671150591</v>
      </c>
      <c r="S11">
        <f>IF(ISERROR(MATCH(S$7,$G$7:$G10,0)),(S$3*S$1-S$2)/S$3,-9)</f>
        <v>6.591756699781399</v>
      </c>
      <c r="T11">
        <f>IF(ISERROR(MATCH(T$7,$G$7:$G10,0)),(T$3*T$1-T$2)/T$3,-9)</f>
        <v>-9</v>
      </c>
      <c r="U11">
        <f>IF(ISERROR(MATCH(U$7,$G$7:$G10,0)),(U$3*U$1-U$2)/U$3,-9)</f>
        <v>4.231979472824605</v>
      </c>
      <c r="V11">
        <f>IF(ISERROR(MATCH(V$7,$G$7:$G10,0)),(V$3*V$1-V$2)/V$3,-9)</f>
        <v>-0.3910616770735942</v>
      </c>
      <c r="W11">
        <f>IF(ISERROR(MATCH(W$7,$G$7:$G10,0)),(W$3*W$1-W$2)/W$3,-9)</f>
        <v>0.7809723127866164</v>
      </c>
      <c r="X11">
        <f>IF(ISERROR(MATCH(X$7,$G$7:$G10,0)),(X$3*X$1-X$2)/X$3,-9)</f>
        <v>-0.2626182878157124</v>
      </c>
      <c r="Y11">
        <f>IF(ISERROR(MATCH(Y$7,$G$7:$G10,0)),(Y$3*Y$1-Y$2)/Y$3,-9)</f>
        <v>3.516188952635275</v>
      </c>
      <c r="Z11">
        <f>IF(ISERROR(MATCH(Z$7,$G$7:$G10,0)),(Z$3*Z$1-Z$2)/Z$3,-9)</f>
        <v>2.221523244661512</v>
      </c>
      <c r="AA11">
        <f>IF(ISERROR(MATCH(AA$7,$G$7:$G10,0)),(AA$3*AA$1-AA$2)/AA$3,-9)</f>
        <v>8.815362106251996</v>
      </c>
      <c r="AB11">
        <f>IF(ISERROR(MATCH(AB$7,$G$7:$G10,0)),(AB$3*AB$1-AB$2)/AB$3,-9)</f>
        <v>3.0503616825444624</v>
      </c>
      <c r="AC11">
        <f>IF(ISERROR(MATCH(AC$7,$G$7:$G10,0)),(AC$3*AC$1-AC$2)/AC$3,-9)</f>
        <v>2.670427092089085</v>
      </c>
      <c r="AD11">
        <f>IF(ISERROR(MATCH(AD$7,$G$7:$G10,0)),(AD$3*AD$1-AD$2)/AD$3,-9)</f>
        <v>7.6927341423288444</v>
      </c>
      <c r="AE11">
        <f>IF(ISERROR(MATCH(AE$7,$G$7:$G10,0)),(AE$3*AE$1-AE$2)/AE$3,-9)</f>
        <v>3.8557829055935144</v>
      </c>
    </row>
    <row r="12" spans="1:31" ht="13.5">
      <c r="A12">
        <f ca="1" t="shared" si="6"/>
        <v>0.7330506234120184</v>
      </c>
      <c r="B12" s="15">
        <v>4</v>
      </c>
      <c r="C12" t="str">
        <f t="shared" si="7"/>
        <v>terminated</v>
      </c>
      <c r="D12" t="str">
        <f t="shared" si="3"/>
        <v>terminated</v>
      </c>
      <c r="E12" t="str">
        <f t="shared" si="8"/>
        <v>terminated</v>
      </c>
      <c r="F12" s="15">
        <f t="shared" si="4"/>
        <v>8.815362106251996</v>
      </c>
      <c r="G12" s="15" t="str">
        <f t="shared" si="9"/>
        <v>STOP</v>
      </c>
      <c r="H12" t="str">
        <f t="shared" si="10"/>
        <v>terminated</v>
      </c>
      <c r="I12" t="str">
        <f t="shared" si="5"/>
        <v>terminated</v>
      </c>
      <c r="J12">
        <f>MAX(I$8:I12)</f>
        <v>16.259689927101135</v>
      </c>
      <c r="L12">
        <f>IF(ISERROR(MATCH(L$7,$G$7:$G11,0)),(L$3*L$1-L$2)/L$3,-9)</f>
        <v>3.7346382113173604</v>
      </c>
      <c r="M12">
        <f>IF(ISERROR(MATCH(M$7,$G$7:$G11,0)),(M$3*M$1-M$2)/M$3,-9)</f>
        <v>8.285026650701184</v>
      </c>
      <c r="N12">
        <f>IF(ISERROR(MATCH(N$7,$G$7:$G11,0)),(N$3*N$1-N$2)/N$3,-9)</f>
        <v>1.5399956636247225</v>
      </c>
      <c r="O12">
        <f>IF(ISERROR(MATCH(O$7,$G$7:$G11,0)),(O$3*O$1-O$2)/O$3,-9)</f>
        <v>7.652768671396188</v>
      </c>
      <c r="P12">
        <f>IF(ISERROR(MATCH(P$7,$G$7:$G11,0)),(P$3*P$1-P$2)/P$3,-9)</f>
        <v>1.5393817547010258</v>
      </c>
      <c r="Q12">
        <f>IF(ISERROR(MATCH(Q$7,$G$7:$G11,0)),(Q$3*Q$1-Q$2)/Q$3,-9)</f>
        <v>4.23800942269736</v>
      </c>
      <c r="R12">
        <f>IF(ISERROR(MATCH(R$7,$G$7:$G11,0)),(R$3*R$1-R$2)/R$3,-9)</f>
        <v>1.8275710671150591</v>
      </c>
      <c r="S12">
        <f>IF(ISERROR(MATCH(S$7,$G$7:$G11,0)),(S$3*S$1-S$2)/S$3,-9)</f>
        <v>6.591756699781399</v>
      </c>
      <c r="T12">
        <f>IF(ISERROR(MATCH(T$7,$G$7:$G11,0)),(T$3*T$1-T$2)/T$3,-9)</f>
        <v>-9</v>
      </c>
      <c r="U12">
        <f>IF(ISERROR(MATCH(U$7,$G$7:$G11,0)),(U$3*U$1-U$2)/U$3,-9)</f>
        <v>4.231979472824605</v>
      </c>
      <c r="V12">
        <f>IF(ISERROR(MATCH(V$7,$G$7:$G11,0)),(V$3*V$1-V$2)/V$3,-9)</f>
        <v>-0.3910616770735942</v>
      </c>
      <c r="W12">
        <f>IF(ISERROR(MATCH(W$7,$G$7:$G11,0)),(W$3*W$1-W$2)/W$3,-9)</f>
        <v>0.7809723127866164</v>
      </c>
      <c r="X12">
        <f>IF(ISERROR(MATCH(X$7,$G$7:$G11,0)),(X$3*X$1-X$2)/X$3,-9)</f>
        <v>-0.2626182878157124</v>
      </c>
      <c r="Y12">
        <f>IF(ISERROR(MATCH(Y$7,$G$7:$G11,0)),(Y$3*Y$1-Y$2)/Y$3,-9)</f>
        <v>3.516188952635275</v>
      </c>
      <c r="Z12">
        <f>IF(ISERROR(MATCH(Z$7,$G$7:$G11,0)),(Z$3*Z$1-Z$2)/Z$3,-9)</f>
        <v>2.221523244661512</v>
      </c>
      <c r="AA12">
        <f>IF(ISERROR(MATCH(AA$7,$G$7:$G11,0)),(AA$3*AA$1-AA$2)/AA$3,-9)</f>
        <v>8.815362106251996</v>
      </c>
      <c r="AB12">
        <f>IF(ISERROR(MATCH(AB$7,$G$7:$G11,0)),(AB$3*AB$1-AB$2)/AB$3,-9)</f>
        <v>3.0503616825444624</v>
      </c>
      <c r="AC12">
        <f>IF(ISERROR(MATCH(AC$7,$G$7:$G11,0)),(AC$3*AC$1-AC$2)/AC$3,-9)</f>
        <v>2.670427092089085</v>
      </c>
      <c r="AD12">
        <f>IF(ISERROR(MATCH(AD$7,$G$7:$G11,0)),(AD$3*AD$1-AD$2)/AD$3,-9)</f>
        <v>7.6927341423288444</v>
      </c>
      <c r="AE12">
        <f>IF(ISERROR(MATCH(AE$7,$G$7:$G11,0)),(AE$3*AE$1-AE$2)/AE$3,-9)</f>
        <v>3.8557829055935144</v>
      </c>
    </row>
    <row r="13" spans="1:31" ht="13.5">
      <c r="A13">
        <f ca="1" t="shared" si="6"/>
        <v>0.5014995294330173</v>
      </c>
      <c r="B13" s="15">
        <v>5</v>
      </c>
      <c r="C13" t="str">
        <f t="shared" si="7"/>
        <v>terminated</v>
      </c>
      <c r="D13" t="str">
        <f t="shared" si="3"/>
        <v>terminated</v>
      </c>
      <c r="E13" t="str">
        <f t="shared" si="8"/>
        <v>terminated</v>
      </c>
      <c r="F13" s="15">
        <f t="shared" si="4"/>
        <v>8.815362106251996</v>
      </c>
      <c r="G13" s="15" t="str">
        <f t="shared" si="9"/>
        <v>STOP</v>
      </c>
      <c r="H13" t="str">
        <f t="shared" si="10"/>
        <v>terminated</v>
      </c>
      <c r="I13" t="str">
        <f t="shared" si="5"/>
        <v>terminated</v>
      </c>
      <c r="J13">
        <f>MAX(I$8:I13)</f>
        <v>16.259689927101135</v>
      </c>
      <c r="L13">
        <f>IF(ISERROR(MATCH(L$7,$G$7:$G12,0)),(L$3*L$1-L$2)/L$3,-9)</f>
        <v>3.7346382113173604</v>
      </c>
      <c r="M13">
        <f>IF(ISERROR(MATCH(M$7,$G$7:$G12,0)),(M$3*M$1-M$2)/M$3,-9)</f>
        <v>8.285026650701184</v>
      </c>
      <c r="N13">
        <f>IF(ISERROR(MATCH(N$7,$G$7:$G12,0)),(N$3*N$1-N$2)/N$3,-9)</f>
        <v>1.5399956636247225</v>
      </c>
      <c r="O13">
        <f>IF(ISERROR(MATCH(O$7,$G$7:$G12,0)),(O$3*O$1-O$2)/O$3,-9)</f>
        <v>7.652768671396188</v>
      </c>
      <c r="P13">
        <f>IF(ISERROR(MATCH(P$7,$G$7:$G12,0)),(P$3*P$1-P$2)/P$3,-9)</f>
        <v>1.5393817547010258</v>
      </c>
      <c r="Q13">
        <f>IF(ISERROR(MATCH(Q$7,$G$7:$G12,0)),(Q$3*Q$1-Q$2)/Q$3,-9)</f>
        <v>4.23800942269736</v>
      </c>
      <c r="R13">
        <f>IF(ISERROR(MATCH(R$7,$G$7:$G12,0)),(R$3*R$1-R$2)/R$3,-9)</f>
        <v>1.8275710671150591</v>
      </c>
      <c r="S13">
        <f>IF(ISERROR(MATCH(S$7,$G$7:$G12,0)),(S$3*S$1-S$2)/S$3,-9)</f>
        <v>6.591756699781399</v>
      </c>
      <c r="T13">
        <f>IF(ISERROR(MATCH(T$7,$G$7:$G12,0)),(T$3*T$1-T$2)/T$3,-9)</f>
        <v>-9</v>
      </c>
      <c r="U13">
        <f>IF(ISERROR(MATCH(U$7,$G$7:$G12,0)),(U$3*U$1-U$2)/U$3,-9)</f>
        <v>4.231979472824605</v>
      </c>
      <c r="V13">
        <f>IF(ISERROR(MATCH(V$7,$G$7:$G12,0)),(V$3*V$1-V$2)/V$3,-9)</f>
        <v>-0.3910616770735942</v>
      </c>
      <c r="W13">
        <f>IF(ISERROR(MATCH(W$7,$G$7:$G12,0)),(W$3*W$1-W$2)/W$3,-9)</f>
        <v>0.7809723127866164</v>
      </c>
      <c r="X13">
        <f>IF(ISERROR(MATCH(X$7,$G$7:$G12,0)),(X$3*X$1-X$2)/X$3,-9)</f>
        <v>-0.2626182878157124</v>
      </c>
      <c r="Y13">
        <f>IF(ISERROR(MATCH(Y$7,$G$7:$G12,0)),(Y$3*Y$1-Y$2)/Y$3,-9)</f>
        <v>3.516188952635275</v>
      </c>
      <c r="Z13">
        <f>IF(ISERROR(MATCH(Z$7,$G$7:$G12,0)),(Z$3*Z$1-Z$2)/Z$3,-9)</f>
        <v>2.221523244661512</v>
      </c>
      <c r="AA13">
        <f>IF(ISERROR(MATCH(AA$7,$G$7:$G12,0)),(AA$3*AA$1-AA$2)/AA$3,-9)</f>
        <v>8.815362106251996</v>
      </c>
      <c r="AB13">
        <f>IF(ISERROR(MATCH(AB$7,$G$7:$G12,0)),(AB$3*AB$1-AB$2)/AB$3,-9)</f>
        <v>3.0503616825444624</v>
      </c>
      <c r="AC13">
        <f>IF(ISERROR(MATCH(AC$7,$G$7:$G12,0)),(AC$3*AC$1-AC$2)/AC$3,-9)</f>
        <v>2.670427092089085</v>
      </c>
      <c r="AD13">
        <f>IF(ISERROR(MATCH(AD$7,$G$7:$G12,0)),(AD$3*AD$1-AD$2)/AD$3,-9)</f>
        <v>7.6927341423288444</v>
      </c>
      <c r="AE13">
        <f>IF(ISERROR(MATCH(AE$7,$G$7:$G12,0)),(AE$3*AE$1-AE$2)/AE$3,-9)</f>
        <v>3.8557829055935144</v>
      </c>
    </row>
    <row r="14" spans="1:31" ht="13.5">
      <c r="A14">
        <f ca="1" t="shared" si="6"/>
        <v>0.4382055616633318</v>
      </c>
      <c r="B14" s="15">
        <v>6</v>
      </c>
      <c r="C14" t="str">
        <f t="shared" si="7"/>
        <v>terminated</v>
      </c>
      <c r="D14" t="str">
        <f t="shared" si="3"/>
        <v>terminated</v>
      </c>
      <c r="E14" t="str">
        <f t="shared" si="8"/>
        <v>terminated</v>
      </c>
      <c r="F14" s="15">
        <f t="shared" si="4"/>
        <v>8.815362106251996</v>
      </c>
      <c r="G14" s="15" t="str">
        <f t="shared" si="9"/>
        <v>STOP</v>
      </c>
      <c r="H14" t="str">
        <f t="shared" si="10"/>
        <v>terminated</v>
      </c>
      <c r="I14" t="str">
        <f t="shared" si="5"/>
        <v>terminated</v>
      </c>
      <c r="J14">
        <f>MAX(I$8:I14)</f>
        <v>16.259689927101135</v>
      </c>
      <c r="L14">
        <f>IF(ISERROR(MATCH(L$7,$G$7:$G13,0)),(L$3*L$1-L$2)/L$3,-9)</f>
        <v>3.7346382113173604</v>
      </c>
      <c r="M14">
        <f>IF(ISERROR(MATCH(M$7,$G$7:$G13,0)),(M$3*M$1-M$2)/M$3,-9)</f>
        <v>8.285026650701184</v>
      </c>
      <c r="N14">
        <f>IF(ISERROR(MATCH(N$7,$G$7:$G13,0)),(N$3*N$1-N$2)/N$3,-9)</f>
        <v>1.5399956636247225</v>
      </c>
      <c r="O14">
        <f>IF(ISERROR(MATCH(O$7,$G$7:$G13,0)),(O$3*O$1-O$2)/O$3,-9)</f>
        <v>7.652768671396188</v>
      </c>
      <c r="P14">
        <f>IF(ISERROR(MATCH(P$7,$G$7:$G13,0)),(P$3*P$1-P$2)/P$3,-9)</f>
        <v>1.5393817547010258</v>
      </c>
      <c r="Q14">
        <f>IF(ISERROR(MATCH(Q$7,$G$7:$G13,0)),(Q$3*Q$1-Q$2)/Q$3,-9)</f>
        <v>4.23800942269736</v>
      </c>
      <c r="R14">
        <f>IF(ISERROR(MATCH(R$7,$G$7:$G13,0)),(R$3*R$1-R$2)/R$3,-9)</f>
        <v>1.8275710671150591</v>
      </c>
      <c r="S14">
        <f>IF(ISERROR(MATCH(S$7,$G$7:$G13,0)),(S$3*S$1-S$2)/S$3,-9)</f>
        <v>6.591756699781399</v>
      </c>
      <c r="T14">
        <f>IF(ISERROR(MATCH(T$7,$G$7:$G13,0)),(T$3*T$1-T$2)/T$3,-9)</f>
        <v>-9</v>
      </c>
      <c r="U14">
        <f>IF(ISERROR(MATCH(U$7,$G$7:$G13,0)),(U$3*U$1-U$2)/U$3,-9)</f>
        <v>4.231979472824605</v>
      </c>
      <c r="V14">
        <f>IF(ISERROR(MATCH(V$7,$G$7:$G13,0)),(V$3*V$1-V$2)/V$3,-9)</f>
        <v>-0.3910616770735942</v>
      </c>
      <c r="W14">
        <f>IF(ISERROR(MATCH(W$7,$G$7:$G13,0)),(W$3*W$1-W$2)/W$3,-9)</f>
        <v>0.7809723127866164</v>
      </c>
      <c r="X14">
        <f>IF(ISERROR(MATCH(X$7,$G$7:$G13,0)),(X$3*X$1-X$2)/X$3,-9)</f>
        <v>-0.2626182878157124</v>
      </c>
      <c r="Y14">
        <f>IF(ISERROR(MATCH(Y$7,$G$7:$G13,0)),(Y$3*Y$1-Y$2)/Y$3,-9)</f>
        <v>3.516188952635275</v>
      </c>
      <c r="Z14">
        <f>IF(ISERROR(MATCH(Z$7,$G$7:$G13,0)),(Z$3*Z$1-Z$2)/Z$3,-9)</f>
        <v>2.221523244661512</v>
      </c>
      <c r="AA14">
        <f>IF(ISERROR(MATCH(AA$7,$G$7:$G13,0)),(AA$3*AA$1-AA$2)/AA$3,-9)</f>
        <v>8.815362106251996</v>
      </c>
      <c r="AB14">
        <f>IF(ISERROR(MATCH(AB$7,$G$7:$G13,0)),(AB$3*AB$1-AB$2)/AB$3,-9)</f>
        <v>3.0503616825444624</v>
      </c>
      <c r="AC14">
        <f>IF(ISERROR(MATCH(AC$7,$G$7:$G13,0)),(AC$3*AC$1-AC$2)/AC$3,-9)</f>
        <v>2.670427092089085</v>
      </c>
      <c r="AD14">
        <f>IF(ISERROR(MATCH(AD$7,$G$7:$G13,0)),(AD$3*AD$1-AD$2)/AD$3,-9)</f>
        <v>7.6927341423288444</v>
      </c>
      <c r="AE14">
        <f>IF(ISERROR(MATCH(AE$7,$G$7:$G13,0)),(AE$3*AE$1-AE$2)/AE$3,-9)</f>
        <v>3.8557829055935144</v>
      </c>
    </row>
    <row r="15" spans="1:31" ht="13.5">
      <c r="A15">
        <f ca="1" t="shared" si="6"/>
        <v>0.8281480955816036</v>
      </c>
      <c r="B15" s="15">
        <v>7</v>
      </c>
      <c r="C15" t="str">
        <f t="shared" si="7"/>
        <v>terminated</v>
      </c>
      <c r="D15" t="str">
        <f t="shared" si="3"/>
        <v>terminated</v>
      </c>
      <c r="E15" t="str">
        <f t="shared" si="8"/>
        <v>terminated</v>
      </c>
      <c r="F15" s="15">
        <f t="shared" si="4"/>
        <v>8.815362106251996</v>
      </c>
      <c r="G15" s="15" t="str">
        <f t="shared" si="9"/>
        <v>STOP</v>
      </c>
      <c r="H15" t="str">
        <f t="shared" si="10"/>
        <v>terminated</v>
      </c>
      <c r="I15" t="str">
        <f t="shared" si="5"/>
        <v>terminated</v>
      </c>
      <c r="J15">
        <f>MAX(I$8:I15)</f>
        <v>16.259689927101135</v>
      </c>
      <c r="L15">
        <f>IF(ISERROR(MATCH(L$7,$G$7:$G14,0)),(L$3*L$1-L$2)/L$3,-9)</f>
        <v>3.7346382113173604</v>
      </c>
      <c r="M15">
        <f>IF(ISERROR(MATCH(M$7,$G$7:$G14,0)),(M$3*M$1-M$2)/M$3,-9)</f>
        <v>8.285026650701184</v>
      </c>
      <c r="N15">
        <f>IF(ISERROR(MATCH(N$7,$G$7:$G14,0)),(N$3*N$1-N$2)/N$3,-9)</f>
        <v>1.5399956636247225</v>
      </c>
      <c r="O15">
        <f>IF(ISERROR(MATCH(O$7,$G$7:$G14,0)),(O$3*O$1-O$2)/O$3,-9)</f>
        <v>7.652768671396188</v>
      </c>
      <c r="P15">
        <f>IF(ISERROR(MATCH(P$7,$G$7:$G14,0)),(P$3*P$1-P$2)/P$3,-9)</f>
        <v>1.5393817547010258</v>
      </c>
      <c r="Q15">
        <f>IF(ISERROR(MATCH(Q$7,$G$7:$G14,0)),(Q$3*Q$1-Q$2)/Q$3,-9)</f>
        <v>4.23800942269736</v>
      </c>
      <c r="R15">
        <f>IF(ISERROR(MATCH(R$7,$G$7:$G14,0)),(R$3*R$1-R$2)/R$3,-9)</f>
        <v>1.8275710671150591</v>
      </c>
      <c r="S15">
        <f>IF(ISERROR(MATCH(S$7,$G$7:$G14,0)),(S$3*S$1-S$2)/S$3,-9)</f>
        <v>6.591756699781399</v>
      </c>
      <c r="T15">
        <f>IF(ISERROR(MATCH(T$7,$G$7:$G14,0)),(T$3*T$1-T$2)/T$3,-9)</f>
        <v>-9</v>
      </c>
      <c r="U15">
        <f>IF(ISERROR(MATCH(U$7,$G$7:$G14,0)),(U$3*U$1-U$2)/U$3,-9)</f>
        <v>4.231979472824605</v>
      </c>
      <c r="V15">
        <f>IF(ISERROR(MATCH(V$7,$G$7:$G14,0)),(V$3*V$1-V$2)/V$3,-9)</f>
        <v>-0.3910616770735942</v>
      </c>
      <c r="W15">
        <f>IF(ISERROR(MATCH(W$7,$G$7:$G14,0)),(W$3*W$1-W$2)/W$3,-9)</f>
        <v>0.7809723127866164</v>
      </c>
      <c r="X15">
        <f>IF(ISERROR(MATCH(X$7,$G$7:$G14,0)),(X$3*X$1-X$2)/X$3,-9)</f>
        <v>-0.2626182878157124</v>
      </c>
      <c r="Y15">
        <f>IF(ISERROR(MATCH(Y$7,$G$7:$G14,0)),(Y$3*Y$1-Y$2)/Y$3,-9)</f>
        <v>3.516188952635275</v>
      </c>
      <c r="Z15">
        <f>IF(ISERROR(MATCH(Z$7,$G$7:$G14,0)),(Z$3*Z$1-Z$2)/Z$3,-9)</f>
        <v>2.221523244661512</v>
      </c>
      <c r="AA15">
        <f>IF(ISERROR(MATCH(AA$7,$G$7:$G14,0)),(AA$3*AA$1-AA$2)/AA$3,-9)</f>
        <v>8.815362106251996</v>
      </c>
      <c r="AB15">
        <f>IF(ISERROR(MATCH(AB$7,$G$7:$G14,0)),(AB$3*AB$1-AB$2)/AB$3,-9)</f>
        <v>3.0503616825444624</v>
      </c>
      <c r="AC15">
        <f>IF(ISERROR(MATCH(AC$7,$G$7:$G14,0)),(AC$3*AC$1-AC$2)/AC$3,-9)</f>
        <v>2.670427092089085</v>
      </c>
      <c r="AD15">
        <f>IF(ISERROR(MATCH(AD$7,$G$7:$G14,0)),(AD$3*AD$1-AD$2)/AD$3,-9)</f>
        <v>7.6927341423288444</v>
      </c>
      <c r="AE15">
        <f>IF(ISERROR(MATCH(AE$7,$G$7:$G14,0)),(AE$3*AE$1-AE$2)/AE$3,-9)</f>
        <v>3.8557829055935144</v>
      </c>
    </row>
    <row r="16" spans="1:31" ht="13.5">
      <c r="A16">
        <f ca="1" t="shared" si="6"/>
        <v>0.4537737069292218</v>
      </c>
      <c r="B16" s="15">
        <v>8</v>
      </c>
      <c r="C16" t="str">
        <f t="shared" si="7"/>
        <v>terminated</v>
      </c>
      <c r="D16" t="str">
        <f t="shared" si="3"/>
        <v>terminated</v>
      </c>
      <c r="E16" t="str">
        <f t="shared" si="8"/>
        <v>terminated</v>
      </c>
      <c r="F16" s="15">
        <f t="shared" si="4"/>
        <v>8.815362106251996</v>
      </c>
      <c r="G16" s="15" t="str">
        <f t="shared" si="9"/>
        <v>STOP</v>
      </c>
      <c r="H16" t="str">
        <f t="shared" si="10"/>
        <v>terminated</v>
      </c>
      <c r="I16" t="str">
        <f t="shared" si="5"/>
        <v>terminated</v>
      </c>
      <c r="J16">
        <f>MAX(I$8:I16)</f>
        <v>16.259689927101135</v>
      </c>
      <c r="L16">
        <f>IF(ISERROR(MATCH(L$7,$G$7:$G15,0)),(L$3*L$1-L$2)/L$3,-9)</f>
        <v>3.7346382113173604</v>
      </c>
      <c r="M16">
        <f>IF(ISERROR(MATCH(M$7,$G$7:$G15,0)),(M$3*M$1-M$2)/M$3,-9)</f>
        <v>8.285026650701184</v>
      </c>
      <c r="N16">
        <f>IF(ISERROR(MATCH(N$7,$G$7:$G15,0)),(N$3*N$1-N$2)/N$3,-9)</f>
        <v>1.5399956636247225</v>
      </c>
      <c r="O16">
        <f>IF(ISERROR(MATCH(O$7,$G$7:$G15,0)),(O$3*O$1-O$2)/O$3,-9)</f>
        <v>7.652768671396188</v>
      </c>
      <c r="P16">
        <f>IF(ISERROR(MATCH(P$7,$G$7:$G15,0)),(P$3*P$1-P$2)/P$3,-9)</f>
        <v>1.5393817547010258</v>
      </c>
      <c r="Q16">
        <f>IF(ISERROR(MATCH(Q$7,$G$7:$G15,0)),(Q$3*Q$1-Q$2)/Q$3,-9)</f>
        <v>4.23800942269736</v>
      </c>
      <c r="R16">
        <f>IF(ISERROR(MATCH(R$7,$G$7:$G15,0)),(R$3*R$1-R$2)/R$3,-9)</f>
        <v>1.8275710671150591</v>
      </c>
      <c r="S16">
        <f>IF(ISERROR(MATCH(S$7,$G$7:$G15,0)),(S$3*S$1-S$2)/S$3,-9)</f>
        <v>6.591756699781399</v>
      </c>
      <c r="T16">
        <f>IF(ISERROR(MATCH(T$7,$G$7:$G15,0)),(T$3*T$1-T$2)/T$3,-9)</f>
        <v>-9</v>
      </c>
      <c r="U16">
        <f>IF(ISERROR(MATCH(U$7,$G$7:$G15,0)),(U$3*U$1-U$2)/U$3,-9)</f>
        <v>4.231979472824605</v>
      </c>
      <c r="V16">
        <f>IF(ISERROR(MATCH(V$7,$G$7:$G15,0)),(V$3*V$1-V$2)/V$3,-9)</f>
        <v>-0.3910616770735942</v>
      </c>
      <c r="W16">
        <f>IF(ISERROR(MATCH(W$7,$G$7:$G15,0)),(W$3*W$1-W$2)/W$3,-9)</f>
        <v>0.7809723127866164</v>
      </c>
      <c r="X16">
        <f>IF(ISERROR(MATCH(X$7,$G$7:$G15,0)),(X$3*X$1-X$2)/X$3,-9)</f>
        <v>-0.2626182878157124</v>
      </c>
      <c r="Y16">
        <f>IF(ISERROR(MATCH(Y$7,$G$7:$G15,0)),(Y$3*Y$1-Y$2)/Y$3,-9)</f>
        <v>3.516188952635275</v>
      </c>
      <c r="Z16">
        <f>IF(ISERROR(MATCH(Z$7,$G$7:$G15,0)),(Z$3*Z$1-Z$2)/Z$3,-9)</f>
        <v>2.221523244661512</v>
      </c>
      <c r="AA16">
        <f>IF(ISERROR(MATCH(AA$7,$G$7:$G15,0)),(AA$3*AA$1-AA$2)/AA$3,-9)</f>
        <v>8.815362106251996</v>
      </c>
      <c r="AB16">
        <f>IF(ISERROR(MATCH(AB$7,$G$7:$G15,0)),(AB$3*AB$1-AB$2)/AB$3,-9)</f>
        <v>3.0503616825444624</v>
      </c>
      <c r="AC16">
        <f>IF(ISERROR(MATCH(AC$7,$G$7:$G15,0)),(AC$3*AC$1-AC$2)/AC$3,-9)</f>
        <v>2.670427092089085</v>
      </c>
      <c r="AD16">
        <f>IF(ISERROR(MATCH(AD$7,$G$7:$G15,0)),(AD$3*AD$1-AD$2)/AD$3,-9)</f>
        <v>7.6927341423288444</v>
      </c>
      <c r="AE16">
        <f>IF(ISERROR(MATCH(AE$7,$G$7:$G15,0)),(AE$3*AE$1-AE$2)/AE$3,-9)</f>
        <v>3.8557829055935144</v>
      </c>
    </row>
    <row r="17" spans="1:31" ht="13.5">
      <c r="A17">
        <f ca="1" t="shared" si="6"/>
        <v>0.722902751887391</v>
      </c>
      <c r="B17" s="15">
        <v>9</v>
      </c>
      <c r="C17" t="str">
        <f t="shared" si="7"/>
        <v>terminated</v>
      </c>
      <c r="D17" t="str">
        <f t="shared" si="3"/>
        <v>terminated</v>
      </c>
      <c r="E17" t="str">
        <f t="shared" si="8"/>
        <v>terminated</v>
      </c>
      <c r="F17" s="15">
        <f t="shared" si="4"/>
        <v>8.815362106251996</v>
      </c>
      <c r="G17" s="15" t="str">
        <f t="shared" si="9"/>
        <v>STOP</v>
      </c>
      <c r="H17" t="str">
        <f t="shared" si="10"/>
        <v>terminated</v>
      </c>
      <c r="I17" t="str">
        <f t="shared" si="5"/>
        <v>terminated</v>
      </c>
      <c r="J17">
        <f>MAX(I$8:I17)</f>
        <v>16.259689927101135</v>
      </c>
      <c r="L17">
        <f>IF(ISERROR(MATCH(L$7,$G$7:$G16,0)),(L$3*L$1-L$2)/L$3,-9)</f>
        <v>3.7346382113173604</v>
      </c>
      <c r="M17">
        <f>IF(ISERROR(MATCH(M$7,$G$7:$G16,0)),(M$3*M$1-M$2)/M$3,-9)</f>
        <v>8.285026650701184</v>
      </c>
      <c r="N17">
        <f>IF(ISERROR(MATCH(N$7,$G$7:$G16,0)),(N$3*N$1-N$2)/N$3,-9)</f>
        <v>1.5399956636247225</v>
      </c>
      <c r="O17">
        <f>IF(ISERROR(MATCH(O$7,$G$7:$G16,0)),(O$3*O$1-O$2)/O$3,-9)</f>
        <v>7.652768671396188</v>
      </c>
      <c r="P17">
        <f>IF(ISERROR(MATCH(P$7,$G$7:$G16,0)),(P$3*P$1-P$2)/P$3,-9)</f>
        <v>1.5393817547010258</v>
      </c>
      <c r="Q17">
        <f>IF(ISERROR(MATCH(Q$7,$G$7:$G16,0)),(Q$3*Q$1-Q$2)/Q$3,-9)</f>
        <v>4.23800942269736</v>
      </c>
      <c r="R17">
        <f>IF(ISERROR(MATCH(R$7,$G$7:$G16,0)),(R$3*R$1-R$2)/R$3,-9)</f>
        <v>1.8275710671150591</v>
      </c>
      <c r="S17">
        <f>IF(ISERROR(MATCH(S$7,$G$7:$G16,0)),(S$3*S$1-S$2)/S$3,-9)</f>
        <v>6.591756699781399</v>
      </c>
      <c r="T17">
        <f>IF(ISERROR(MATCH(T$7,$G$7:$G16,0)),(T$3*T$1-T$2)/T$3,-9)</f>
        <v>-9</v>
      </c>
      <c r="U17">
        <f>IF(ISERROR(MATCH(U$7,$G$7:$G16,0)),(U$3*U$1-U$2)/U$3,-9)</f>
        <v>4.231979472824605</v>
      </c>
      <c r="V17">
        <f>IF(ISERROR(MATCH(V$7,$G$7:$G16,0)),(V$3*V$1-V$2)/V$3,-9)</f>
        <v>-0.3910616770735942</v>
      </c>
      <c r="W17">
        <f>IF(ISERROR(MATCH(W$7,$G$7:$G16,0)),(W$3*W$1-W$2)/W$3,-9)</f>
        <v>0.7809723127866164</v>
      </c>
      <c r="X17">
        <f>IF(ISERROR(MATCH(X$7,$G$7:$G16,0)),(X$3*X$1-X$2)/X$3,-9)</f>
        <v>-0.2626182878157124</v>
      </c>
      <c r="Y17">
        <f>IF(ISERROR(MATCH(Y$7,$G$7:$G16,0)),(Y$3*Y$1-Y$2)/Y$3,-9)</f>
        <v>3.516188952635275</v>
      </c>
      <c r="Z17">
        <f>IF(ISERROR(MATCH(Z$7,$G$7:$G16,0)),(Z$3*Z$1-Z$2)/Z$3,-9)</f>
        <v>2.221523244661512</v>
      </c>
      <c r="AA17">
        <f>IF(ISERROR(MATCH(AA$7,$G$7:$G16,0)),(AA$3*AA$1-AA$2)/AA$3,-9)</f>
        <v>8.815362106251996</v>
      </c>
      <c r="AB17">
        <f>IF(ISERROR(MATCH(AB$7,$G$7:$G16,0)),(AB$3*AB$1-AB$2)/AB$3,-9)</f>
        <v>3.0503616825444624</v>
      </c>
      <c r="AC17">
        <f>IF(ISERROR(MATCH(AC$7,$G$7:$G16,0)),(AC$3*AC$1-AC$2)/AC$3,-9)</f>
        <v>2.670427092089085</v>
      </c>
      <c r="AD17">
        <f>IF(ISERROR(MATCH(AD$7,$G$7:$G16,0)),(AD$3*AD$1-AD$2)/AD$3,-9)</f>
        <v>7.6927341423288444</v>
      </c>
      <c r="AE17">
        <f>IF(ISERROR(MATCH(AE$7,$G$7:$G16,0)),(AE$3*AE$1-AE$2)/AE$3,-9)</f>
        <v>3.8557829055935144</v>
      </c>
    </row>
    <row r="18" spans="1:31" ht="13.5">
      <c r="A18">
        <f ca="1" t="shared" si="6"/>
        <v>0.8392532860665058</v>
      </c>
      <c r="B18" s="15">
        <v>10</v>
      </c>
      <c r="C18" t="str">
        <f t="shared" si="7"/>
        <v>terminated</v>
      </c>
      <c r="D18" t="str">
        <f t="shared" si="3"/>
        <v>terminated</v>
      </c>
      <c r="E18" t="str">
        <f t="shared" si="8"/>
        <v>terminated</v>
      </c>
      <c r="F18" s="15">
        <f t="shared" si="4"/>
        <v>8.815362106251996</v>
      </c>
      <c r="G18" s="15" t="str">
        <f t="shared" si="9"/>
        <v>STOP</v>
      </c>
      <c r="H18" t="str">
        <f t="shared" si="10"/>
        <v>terminated</v>
      </c>
      <c r="I18" t="str">
        <f t="shared" si="5"/>
        <v>terminated</v>
      </c>
      <c r="J18">
        <f>MAX(I$8:I18)</f>
        <v>16.259689927101135</v>
      </c>
      <c r="L18">
        <f>IF(ISERROR(MATCH(L$7,$G$7:$G17,0)),(L$3*L$1-L$2)/L$3,-9)</f>
        <v>3.7346382113173604</v>
      </c>
      <c r="M18">
        <f>IF(ISERROR(MATCH(M$7,$G$7:$G17,0)),(M$3*M$1-M$2)/M$3,-9)</f>
        <v>8.285026650701184</v>
      </c>
      <c r="N18">
        <f>IF(ISERROR(MATCH(N$7,$G$7:$G17,0)),(N$3*N$1-N$2)/N$3,-9)</f>
        <v>1.5399956636247225</v>
      </c>
      <c r="O18">
        <f>IF(ISERROR(MATCH(O$7,$G$7:$G17,0)),(O$3*O$1-O$2)/O$3,-9)</f>
        <v>7.652768671396188</v>
      </c>
      <c r="P18">
        <f>IF(ISERROR(MATCH(P$7,$G$7:$G17,0)),(P$3*P$1-P$2)/P$3,-9)</f>
        <v>1.5393817547010258</v>
      </c>
      <c r="Q18">
        <f>IF(ISERROR(MATCH(Q$7,$G$7:$G17,0)),(Q$3*Q$1-Q$2)/Q$3,-9)</f>
        <v>4.23800942269736</v>
      </c>
      <c r="R18">
        <f>IF(ISERROR(MATCH(R$7,$G$7:$G17,0)),(R$3*R$1-R$2)/R$3,-9)</f>
        <v>1.8275710671150591</v>
      </c>
      <c r="S18">
        <f>IF(ISERROR(MATCH(S$7,$G$7:$G17,0)),(S$3*S$1-S$2)/S$3,-9)</f>
        <v>6.591756699781399</v>
      </c>
      <c r="T18">
        <f>IF(ISERROR(MATCH(T$7,$G$7:$G17,0)),(T$3*T$1-T$2)/T$3,-9)</f>
        <v>-9</v>
      </c>
      <c r="U18">
        <f>IF(ISERROR(MATCH(U$7,$G$7:$G17,0)),(U$3*U$1-U$2)/U$3,-9)</f>
        <v>4.231979472824605</v>
      </c>
      <c r="V18">
        <f>IF(ISERROR(MATCH(V$7,$G$7:$G17,0)),(V$3*V$1-V$2)/V$3,-9)</f>
        <v>-0.3910616770735942</v>
      </c>
      <c r="W18">
        <f>IF(ISERROR(MATCH(W$7,$G$7:$G17,0)),(W$3*W$1-W$2)/W$3,-9)</f>
        <v>0.7809723127866164</v>
      </c>
      <c r="X18">
        <f>IF(ISERROR(MATCH(X$7,$G$7:$G17,0)),(X$3*X$1-X$2)/X$3,-9)</f>
        <v>-0.2626182878157124</v>
      </c>
      <c r="Y18">
        <f>IF(ISERROR(MATCH(Y$7,$G$7:$G17,0)),(Y$3*Y$1-Y$2)/Y$3,-9)</f>
        <v>3.516188952635275</v>
      </c>
      <c r="Z18">
        <f>IF(ISERROR(MATCH(Z$7,$G$7:$G17,0)),(Z$3*Z$1-Z$2)/Z$3,-9)</f>
        <v>2.221523244661512</v>
      </c>
      <c r="AA18">
        <f>IF(ISERROR(MATCH(AA$7,$G$7:$G17,0)),(AA$3*AA$1-AA$2)/AA$3,-9)</f>
        <v>8.815362106251996</v>
      </c>
      <c r="AB18">
        <f>IF(ISERROR(MATCH(AB$7,$G$7:$G17,0)),(AB$3*AB$1-AB$2)/AB$3,-9)</f>
        <v>3.0503616825444624</v>
      </c>
      <c r="AC18">
        <f>IF(ISERROR(MATCH(AC$7,$G$7:$G17,0)),(AC$3*AC$1-AC$2)/AC$3,-9)</f>
        <v>2.670427092089085</v>
      </c>
      <c r="AD18">
        <f>IF(ISERROR(MATCH(AD$7,$G$7:$G17,0)),(AD$3*AD$1-AD$2)/AD$3,-9)</f>
        <v>7.6927341423288444</v>
      </c>
      <c r="AE18">
        <f>IF(ISERROR(MATCH(AE$7,$G$7:$G17,0)),(AE$3*AE$1-AE$2)/AE$3,-9)</f>
        <v>3.8557829055935144</v>
      </c>
    </row>
    <row r="19" spans="1:31" ht="13.5">
      <c r="A19">
        <f ca="1" t="shared" si="6"/>
        <v>0.51784945915389</v>
      </c>
      <c r="B19" s="15">
        <v>11</v>
      </c>
      <c r="C19" t="str">
        <f t="shared" si="7"/>
        <v>terminated</v>
      </c>
      <c r="D19" t="str">
        <f t="shared" si="3"/>
        <v>terminated</v>
      </c>
      <c r="E19" t="str">
        <f t="shared" si="8"/>
        <v>terminated</v>
      </c>
      <c r="F19" s="15">
        <f t="shared" si="4"/>
        <v>8.815362106251996</v>
      </c>
      <c r="G19" s="15" t="str">
        <f t="shared" si="9"/>
        <v>STOP</v>
      </c>
      <c r="H19" t="str">
        <f t="shared" si="10"/>
        <v>terminated</v>
      </c>
      <c r="I19" t="str">
        <f t="shared" si="5"/>
        <v>terminated</v>
      </c>
      <c r="J19">
        <f>MAX(I$8:I19)</f>
        <v>16.259689927101135</v>
      </c>
      <c r="L19">
        <f>IF(ISERROR(MATCH(L$7,$G$7:$G18,0)),(L$3*L$1-L$2)/L$3,-9)</f>
        <v>3.7346382113173604</v>
      </c>
      <c r="M19">
        <f>IF(ISERROR(MATCH(M$7,$G$7:$G18,0)),(M$3*M$1-M$2)/M$3,-9)</f>
        <v>8.285026650701184</v>
      </c>
      <c r="N19">
        <f>IF(ISERROR(MATCH(N$7,$G$7:$G18,0)),(N$3*N$1-N$2)/N$3,-9)</f>
        <v>1.5399956636247225</v>
      </c>
      <c r="O19">
        <f>IF(ISERROR(MATCH(O$7,$G$7:$G18,0)),(O$3*O$1-O$2)/O$3,-9)</f>
        <v>7.652768671396188</v>
      </c>
      <c r="P19">
        <f>IF(ISERROR(MATCH(P$7,$G$7:$G18,0)),(P$3*P$1-P$2)/P$3,-9)</f>
        <v>1.5393817547010258</v>
      </c>
      <c r="Q19">
        <f>IF(ISERROR(MATCH(Q$7,$G$7:$G18,0)),(Q$3*Q$1-Q$2)/Q$3,-9)</f>
        <v>4.23800942269736</v>
      </c>
      <c r="R19">
        <f>IF(ISERROR(MATCH(R$7,$G$7:$G18,0)),(R$3*R$1-R$2)/R$3,-9)</f>
        <v>1.8275710671150591</v>
      </c>
      <c r="S19">
        <f>IF(ISERROR(MATCH(S$7,$G$7:$G18,0)),(S$3*S$1-S$2)/S$3,-9)</f>
        <v>6.591756699781399</v>
      </c>
      <c r="T19">
        <f>IF(ISERROR(MATCH(T$7,$G$7:$G18,0)),(T$3*T$1-T$2)/T$3,-9)</f>
        <v>-9</v>
      </c>
      <c r="U19">
        <f>IF(ISERROR(MATCH(U$7,$G$7:$G18,0)),(U$3*U$1-U$2)/U$3,-9)</f>
        <v>4.231979472824605</v>
      </c>
      <c r="V19">
        <f>IF(ISERROR(MATCH(V$7,$G$7:$G18,0)),(V$3*V$1-V$2)/V$3,-9)</f>
        <v>-0.3910616770735942</v>
      </c>
      <c r="W19">
        <f>IF(ISERROR(MATCH(W$7,$G$7:$G18,0)),(W$3*W$1-W$2)/W$3,-9)</f>
        <v>0.7809723127866164</v>
      </c>
      <c r="X19">
        <f>IF(ISERROR(MATCH(X$7,$G$7:$G18,0)),(X$3*X$1-X$2)/X$3,-9)</f>
        <v>-0.2626182878157124</v>
      </c>
      <c r="Y19">
        <f>IF(ISERROR(MATCH(Y$7,$G$7:$G18,0)),(Y$3*Y$1-Y$2)/Y$3,-9)</f>
        <v>3.516188952635275</v>
      </c>
      <c r="Z19">
        <f>IF(ISERROR(MATCH(Z$7,$G$7:$G18,0)),(Z$3*Z$1-Z$2)/Z$3,-9)</f>
        <v>2.221523244661512</v>
      </c>
      <c r="AA19">
        <f>IF(ISERROR(MATCH(AA$7,$G$7:$G18,0)),(AA$3*AA$1-AA$2)/AA$3,-9)</f>
        <v>8.815362106251996</v>
      </c>
      <c r="AB19">
        <f>IF(ISERROR(MATCH(AB$7,$G$7:$G18,0)),(AB$3*AB$1-AB$2)/AB$3,-9)</f>
        <v>3.0503616825444624</v>
      </c>
      <c r="AC19">
        <f>IF(ISERROR(MATCH(AC$7,$G$7:$G18,0)),(AC$3*AC$1-AC$2)/AC$3,-9)</f>
        <v>2.670427092089085</v>
      </c>
      <c r="AD19">
        <f>IF(ISERROR(MATCH(AD$7,$G$7:$G18,0)),(AD$3*AD$1-AD$2)/AD$3,-9)</f>
        <v>7.6927341423288444</v>
      </c>
      <c r="AE19">
        <f>IF(ISERROR(MATCH(AE$7,$G$7:$G18,0)),(AE$3*AE$1-AE$2)/AE$3,-9)</f>
        <v>3.8557829055935144</v>
      </c>
    </row>
    <row r="20" spans="1:31" ht="13.5">
      <c r="A20">
        <f ca="1" t="shared" si="6"/>
        <v>0.010865350353923553</v>
      </c>
      <c r="B20" s="15">
        <v>12</v>
      </c>
      <c r="C20" t="str">
        <f t="shared" si="7"/>
        <v>terminated</v>
      </c>
      <c r="D20" t="str">
        <f t="shared" si="3"/>
        <v>terminated</v>
      </c>
      <c r="E20" t="str">
        <f t="shared" si="8"/>
        <v>terminated</v>
      </c>
      <c r="F20" s="15">
        <f t="shared" si="4"/>
        <v>8.815362106251996</v>
      </c>
      <c r="G20" s="15" t="str">
        <f t="shared" si="9"/>
        <v>STOP</v>
      </c>
      <c r="H20" t="str">
        <f t="shared" si="10"/>
        <v>terminated</v>
      </c>
      <c r="I20" t="str">
        <f t="shared" si="5"/>
        <v>terminated</v>
      </c>
      <c r="J20">
        <f>MAX(I$8:I20)</f>
        <v>16.259689927101135</v>
      </c>
      <c r="L20">
        <f>IF(ISERROR(MATCH(L$7,$G$7:$G19,0)),(L$3*L$1-L$2)/L$3,-9)</f>
        <v>3.7346382113173604</v>
      </c>
      <c r="M20">
        <f>IF(ISERROR(MATCH(M$7,$G$7:$G19,0)),(M$3*M$1-M$2)/M$3,-9)</f>
        <v>8.285026650701184</v>
      </c>
      <c r="N20">
        <f>IF(ISERROR(MATCH(N$7,$G$7:$G19,0)),(N$3*N$1-N$2)/N$3,-9)</f>
        <v>1.5399956636247225</v>
      </c>
      <c r="O20">
        <f>IF(ISERROR(MATCH(O$7,$G$7:$G19,0)),(O$3*O$1-O$2)/O$3,-9)</f>
        <v>7.652768671396188</v>
      </c>
      <c r="P20">
        <f>IF(ISERROR(MATCH(P$7,$G$7:$G19,0)),(P$3*P$1-P$2)/P$3,-9)</f>
        <v>1.5393817547010258</v>
      </c>
      <c r="Q20">
        <f>IF(ISERROR(MATCH(Q$7,$G$7:$G19,0)),(Q$3*Q$1-Q$2)/Q$3,-9)</f>
        <v>4.23800942269736</v>
      </c>
      <c r="R20">
        <f>IF(ISERROR(MATCH(R$7,$G$7:$G19,0)),(R$3*R$1-R$2)/R$3,-9)</f>
        <v>1.8275710671150591</v>
      </c>
      <c r="S20">
        <f>IF(ISERROR(MATCH(S$7,$G$7:$G19,0)),(S$3*S$1-S$2)/S$3,-9)</f>
        <v>6.591756699781399</v>
      </c>
      <c r="T20">
        <f>IF(ISERROR(MATCH(T$7,$G$7:$G19,0)),(T$3*T$1-T$2)/T$3,-9)</f>
        <v>-9</v>
      </c>
      <c r="U20">
        <f>IF(ISERROR(MATCH(U$7,$G$7:$G19,0)),(U$3*U$1-U$2)/U$3,-9)</f>
        <v>4.231979472824605</v>
      </c>
      <c r="V20">
        <f>IF(ISERROR(MATCH(V$7,$G$7:$G19,0)),(V$3*V$1-V$2)/V$3,-9)</f>
        <v>-0.3910616770735942</v>
      </c>
      <c r="W20">
        <f>IF(ISERROR(MATCH(W$7,$G$7:$G19,0)),(W$3*W$1-W$2)/W$3,-9)</f>
        <v>0.7809723127866164</v>
      </c>
      <c r="X20">
        <f>IF(ISERROR(MATCH(X$7,$G$7:$G19,0)),(X$3*X$1-X$2)/X$3,-9)</f>
        <v>-0.2626182878157124</v>
      </c>
      <c r="Y20">
        <f>IF(ISERROR(MATCH(Y$7,$G$7:$G19,0)),(Y$3*Y$1-Y$2)/Y$3,-9)</f>
        <v>3.516188952635275</v>
      </c>
      <c r="Z20">
        <f>IF(ISERROR(MATCH(Z$7,$G$7:$G19,0)),(Z$3*Z$1-Z$2)/Z$3,-9)</f>
        <v>2.221523244661512</v>
      </c>
      <c r="AA20">
        <f>IF(ISERROR(MATCH(AA$7,$G$7:$G19,0)),(AA$3*AA$1-AA$2)/AA$3,-9)</f>
        <v>8.815362106251996</v>
      </c>
      <c r="AB20">
        <f>IF(ISERROR(MATCH(AB$7,$G$7:$G19,0)),(AB$3*AB$1-AB$2)/AB$3,-9)</f>
        <v>3.0503616825444624</v>
      </c>
      <c r="AC20">
        <f>IF(ISERROR(MATCH(AC$7,$G$7:$G19,0)),(AC$3*AC$1-AC$2)/AC$3,-9)</f>
        <v>2.670427092089085</v>
      </c>
      <c r="AD20">
        <f>IF(ISERROR(MATCH(AD$7,$G$7:$G19,0)),(AD$3*AD$1-AD$2)/AD$3,-9)</f>
        <v>7.6927341423288444</v>
      </c>
      <c r="AE20">
        <f>IF(ISERROR(MATCH(AE$7,$G$7:$G19,0)),(AE$3*AE$1-AE$2)/AE$3,-9)</f>
        <v>3.8557829055935144</v>
      </c>
    </row>
    <row r="21" spans="1:31" ht="13.5">
      <c r="A21">
        <f ca="1" t="shared" si="6"/>
        <v>0.9199328258832138</v>
      </c>
      <c r="B21" s="15">
        <v>13</v>
      </c>
      <c r="C21" t="str">
        <f t="shared" si="7"/>
        <v>terminated</v>
      </c>
      <c r="D21" t="str">
        <f t="shared" si="3"/>
        <v>terminated</v>
      </c>
      <c r="E21" t="str">
        <f t="shared" si="8"/>
        <v>terminated</v>
      </c>
      <c r="F21" s="15">
        <f t="shared" si="4"/>
        <v>8.815362106251996</v>
      </c>
      <c r="G21" s="15" t="str">
        <f t="shared" si="9"/>
        <v>STOP</v>
      </c>
      <c r="H21" t="str">
        <f t="shared" si="10"/>
        <v>terminated</v>
      </c>
      <c r="I21" t="str">
        <f t="shared" si="5"/>
        <v>terminated</v>
      </c>
      <c r="J21">
        <f>MAX(I$8:I21)</f>
        <v>16.259689927101135</v>
      </c>
      <c r="L21">
        <f>IF(ISERROR(MATCH(L$7,$G$7:$G20,0)),(L$3*L$1-L$2)/L$3,-9)</f>
        <v>3.7346382113173604</v>
      </c>
      <c r="M21">
        <f>IF(ISERROR(MATCH(M$7,$G$7:$G20,0)),(M$3*M$1-M$2)/M$3,-9)</f>
        <v>8.285026650701184</v>
      </c>
      <c r="N21">
        <f>IF(ISERROR(MATCH(N$7,$G$7:$G20,0)),(N$3*N$1-N$2)/N$3,-9)</f>
        <v>1.5399956636247225</v>
      </c>
      <c r="O21">
        <f>IF(ISERROR(MATCH(O$7,$G$7:$G20,0)),(O$3*O$1-O$2)/O$3,-9)</f>
        <v>7.652768671396188</v>
      </c>
      <c r="P21">
        <f>IF(ISERROR(MATCH(P$7,$G$7:$G20,0)),(P$3*P$1-P$2)/P$3,-9)</f>
        <v>1.5393817547010258</v>
      </c>
      <c r="Q21">
        <f>IF(ISERROR(MATCH(Q$7,$G$7:$G20,0)),(Q$3*Q$1-Q$2)/Q$3,-9)</f>
        <v>4.23800942269736</v>
      </c>
      <c r="R21">
        <f>IF(ISERROR(MATCH(R$7,$G$7:$G20,0)),(R$3*R$1-R$2)/R$3,-9)</f>
        <v>1.8275710671150591</v>
      </c>
      <c r="S21">
        <f>IF(ISERROR(MATCH(S$7,$G$7:$G20,0)),(S$3*S$1-S$2)/S$3,-9)</f>
        <v>6.591756699781399</v>
      </c>
      <c r="T21">
        <f>IF(ISERROR(MATCH(T$7,$G$7:$G20,0)),(T$3*T$1-T$2)/T$3,-9)</f>
        <v>-9</v>
      </c>
      <c r="U21">
        <f>IF(ISERROR(MATCH(U$7,$G$7:$G20,0)),(U$3*U$1-U$2)/U$3,-9)</f>
        <v>4.231979472824605</v>
      </c>
      <c r="V21">
        <f>IF(ISERROR(MATCH(V$7,$G$7:$G20,0)),(V$3*V$1-V$2)/V$3,-9)</f>
        <v>-0.3910616770735942</v>
      </c>
      <c r="W21">
        <f>IF(ISERROR(MATCH(W$7,$G$7:$G20,0)),(W$3*W$1-W$2)/W$3,-9)</f>
        <v>0.7809723127866164</v>
      </c>
      <c r="X21">
        <f>IF(ISERROR(MATCH(X$7,$G$7:$G20,0)),(X$3*X$1-X$2)/X$3,-9)</f>
        <v>-0.2626182878157124</v>
      </c>
      <c r="Y21">
        <f>IF(ISERROR(MATCH(Y$7,$G$7:$G20,0)),(Y$3*Y$1-Y$2)/Y$3,-9)</f>
        <v>3.516188952635275</v>
      </c>
      <c r="Z21">
        <f>IF(ISERROR(MATCH(Z$7,$G$7:$G20,0)),(Z$3*Z$1-Z$2)/Z$3,-9)</f>
        <v>2.221523244661512</v>
      </c>
      <c r="AA21">
        <f>IF(ISERROR(MATCH(AA$7,$G$7:$G20,0)),(AA$3*AA$1-AA$2)/AA$3,-9)</f>
        <v>8.815362106251996</v>
      </c>
      <c r="AB21">
        <f>IF(ISERROR(MATCH(AB$7,$G$7:$G20,0)),(AB$3*AB$1-AB$2)/AB$3,-9)</f>
        <v>3.0503616825444624</v>
      </c>
      <c r="AC21">
        <f>IF(ISERROR(MATCH(AC$7,$G$7:$G20,0)),(AC$3*AC$1-AC$2)/AC$3,-9)</f>
        <v>2.670427092089085</v>
      </c>
      <c r="AD21">
        <f>IF(ISERROR(MATCH(AD$7,$G$7:$G20,0)),(AD$3*AD$1-AD$2)/AD$3,-9)</f>
        <v>7.6927341423288444</v>
      </c>
      <c r="AE21">
        <f>IF(ISERROR(MATCH(AE$7,$G$7:$G20,0)),(AE$3*AE$1-AE$2)/AE$3,-9)</f>
        <v>3.8557829055935144</v>
      </c>
    </row>
    <row r="22" spans="1:31" ht="13.5">
      <c r="A22">
        <f ca="1" t="shared" si="6"/>
        <v>0.8716099990426258</v>
      </c>
      <c r="B22" s="15">
        <v>14</v>
      </c>
      <c r="C22" t="str">
        <f t="shared" si="7"/>
        <v>terminated</v>
      </c>
      <c r="D22" t="str">
        <f t="shared" si="3"/>
        <v>terminated</v>
      </c>
      <c r="E22" t="str">
        <f t="shared" si="8"/>
        <v>terminated</v>
      </c>
      <c r="F22" s="15">
        <f t="shared" si="4"/>
        <v>8.815362106251996</v>
      </c>
      <c r="G22" s="15" t="str">
        <f t="shared" si="9"/>
        <v>STOP</v>
      </c>
      <c r="H22" t="str">
        <f t="shared" si="10"/>
        <v>terminated</v>
      </c>
      <c r="I22" t="str">
        <f t="shared" si="5"/>
        <v>terminated</v>
      </c>
      <c r="J22">
        <f>MAX(I$8:I22)</f>
        <v>16.259689927101135</v>
      </c>
      <c r="L22">
        <f>IF(ISERROR(MATCH(L$7,$G$7:$G21,0)),(L$3*L$1-L$2)/L$3,-9)</f>
        <v>3.7346382113173604</v>
      </c>
      <c r="M22">
        <f>IF(ISERROR(MATCH(M$7,$G$7:$G21,0)),(M$3*M$1-M$2)/M$3,-9)</f>
        <v>8.285026650701184</v>
      </c>
      <c r="N22">
        <f>IF(ISERROR(MATCH(N$7,$G$7:$G21,0)),(N$3*N$1-N$2)/N$3,-9)</f>
        <v>1.5399956636247225</v>
      </c>
      <c r="O22">
        <f>IF(ISERROR(MATCH(O$7,$G$7:$G21,0)),(O$3*O$1-O$2)/O$3,-9)</f>
        <v>7.652768671396188</v>
      </c>
      <c r="P22">
        <f>IF(ISERROR(MATCH(P$7,$G$7:$G21,0)),(P$3*P$1-P$2)/P$3,-9)</f>
        <v>1.5393817547010258</v>
      </c>
      <c r="Q22">
        <f>IF(ISERROR(MATCH(Q$7,$G$7:$G21,0)),(Q$3*Q$1-Q$2)/Q$3,-9)</f>
        <v>4.23800942269736</v>
      </c>
      <c r="R22">
        <f>IF(ISERROR(MATCH(R$7,$G$7:$G21,0)),(R$3*R$1-R$2)/R$3,-9)</f>
        <v>1.8275710671150591</v>
      </c>
      <c r="S22">
        <f>IF(ISERROR(MATCH(S$7,$G$7:$G21,0)),(S$3*S$1-S$2)/S$3,-9)</f>
        <v>6.591756699781399</v>
      </c>
      <c r="T22">
        <f>IF(ISERROR(MATCH(T$7,$G$7:$G21,0)),(T$3*T$1-T$2)/T$3,-9)</f>
        <v>-9</v>
      </c>
      <c r="U22">
        <f>IF(ISERROR(MATCH(U$7,$G$7:$G21,0)),(U$3*U$1-U$2)/U$3,-9)</f>
        <v>4.231979472824605</v>
      </c>
      <c r="V22">
        <f>IF(ISERROR(MATCH(V$7,$G$7:$G21,0)),(V$3*V$1-V$2)/V$3,-9)</f>
        <v>-0.3910616770735942</v>
      </c>
      <c r="W22">
        <f>IF(ISERROR(MATCH(W$7,$G$7:$G21,0)),(W$3*W$1-W$2)/W$3,-9)</f>
        <v>0.7809723127866164</v>
      </c>
      <c r="X22">
        <f>IF(ISERROR(MATCH(X$7,$G$7:$G21,0)),(X$3*X$1-X$2)/X$3,-9)</f>
        <v>-0.2626182878157124</v>
      </c>
      <c r="Y22">
        <f>IF(ISERROR(MATCH(Y$7,$G$7:$G21,0)),(Y$3*Y$1-Y$2)/Y$3,-9)</f>
        <v>3.516188952635275</v>
      </c>
      <c r="Z22">
        <f>IF(ISERROR(MATCH(Z$7,$G$7:$G21,0)),(Z$3*Z$1-Z$2)/Z$3,-9)</f>
        <v>2.221523244661512</v>
      </c>
      <c r="AA22">
        <f>IF(ISERROR(MATCH(AA$7,$G$7:$G21,0)),(AA$3*AA$1-AA$2)/AA$3,-9)</f>
        <v>8.815362106251996</v>
      </c>
      <c r="AB22">
        <f>IF(ISERROR(MATCH(AB$7,$G$7:$G21,0)),(AB$3*AB$1-AB$2)/AB$3,-9)</f>
        <v>3.0503616825444624</v>
      </c>
      <c r="AC22">
        <f>IF(ISERROR(MATCH(AC$7,$G$7:$G21,0)),(AC$3*AC$1-AC$2)/AC$3,-9)</f>
        <v>2.670427092089085</v>
      </c>
      <c r="AD22">
        <f>IF(ISERROR(MATCH(AD$7,$G$7:$G21,0)),(AD$3*AD$1-AD$2)/AD$3,-9)</f>
        <v>7.6927341423288444</v>
      </c>
      <c r="AE22">
        <f>IF(ISERROR(MATCH(AE$7,$G$7:$G21,0)),(AE$3*AE$1-AE$2)/AE$3,-9)</f>
        <v>3.8557829055935144</v>
      </c>
    </row>
    <row r="23" spans="1:31" ht="13.5">
      <c r="A23">
        <f ca="1" t="shared" si="6"/>
        <v>0.2931275976281382</v>
      </c>
      <c r="B23" s="15">
        <v>15</v>
      </c>
      <c r="C23" t="str">
        <f t="shared" si="7"/>
        <v>terminated</v>
      </c>
      <c r="D23" t="str">
        <f t="shared" si="3"/>
        <v>terminated</v>
      </c>
      <c r="E23" t="str">
        <f t="shared" si="8"/>
        <v>terminated</v>
      </c>
      <c r="F23" s="15">
        <f t="shared" si="4"/>
        <v>8.815362106251996</v>
      </c>
      <c r="G23" s="15" t="str">
        <f t="shared" si="9"/>
        <v>STOP</v>
      </c>
      <c r="H23" t="str">
        <f t="shared" si="10"/>
        <v>terminated</v>
      </c>
      <c r="I23" t="str">
        <f t="shared" si="5"/>
        <v>terminated</v>
      </c>
      <c r="J23">
        <f>MAX(I$8:I23)</f>
        <v>16.259689927101135</v>
      </c>
      <c r="L23">
        <f>IF(ISERROR(MATCH(L$7,$G$7:$G22,0)),(L$3*L$1-L$2)/L$3,-9)</f>
        <v>3.7346382113173604</v>
      </c>
      <c r="M23">
        <f>IF(ISERROR(MATCH(M$7,$G$7:$G22,0)),(M$3*M$1-M$2)/M$3,-9)</f>
        <v>8.285026650701184</v>
      </c>
      <c r="N23">
        <f>IF(ISERROR(MATCH(N$7,$G$7:$G22,0)),(N$3*N$1-N$2)/N$3,-9)</f>
        <v>1.5399956636247225</v>
      </c>
      <c r="O23">
        <f>IF(ISERROR(MATCH(O$7,$G$7:$G22,0)),(O$3*O$1-O$2)/O$3,-9)</f>
        <v>7.652768671396188</v>
      </c>
      <c r="P23">
        <f>IF(ISERROR(MATCH(P$7,$G$7:$G22,0)),(P$3*P$1-P$2)/P$3,-9)</f>
        <v>1.5393817547010258</v>
      </c>
      <c r="Q23">
        <f>IF(ISERROR(MATCH(Q$7,$G$7:$G22,0)),(Q$3*Q$1-Q$2)/Q$3,-9)</f>
        <v>4.23800942269736</v>
      </c>
      <c r="R23">
        <f>IF(ISERROR(MATCH(R$7,$G$7:$G22,0)),(R$3*R$1-R$2)/R$3,-9)</f>
        <v>1.8275710671150591</v>
      </c>
      <c r="S23">
        <f>IF(ISERROR(MATCH(S$7,$G$7:$G22,0)),(S$3*S$1-S$2)/S$3,-9)</f>
        <v>6.591756699781399</v>
      </c>
      <c r="T23">
        <f>IF(ISERROR(MATCH(T$7,$G$7:$G22,0)),(T$3*T$1-T$2)/T$3,-9)</f>
        <v>-9</v>
      </c>
      <c r="U23">
        <f>IF(ISERROR(MATCH(U$7,$G$7:$G22,0)),(U$3*U$1-U$2)/U$3,-9)</f>
        <v>4.231979472824605</v>
      </c>
      <c r="V23">
        <f>IF(ISERROR(MATCH(V$7,$G$7:$G22,0)),(V$3*V$1-V$2)/V$3,-9)</f>
        <v>-0.3910616770735942</v>
      </c>
      <c r="W23">
        <f>IF(ISERROR(MATCH(W$7,$G$7:$G22,0)),(W$3*W$1-W$2)/W$3,-9)</f>
        <v>0.7809723127866164</v>
      </c>
      <c r="X23">
        <f>IF(ISERROR(MATCH(X$7,$G$7:$G22,0)),(X$3*X$1-X$2)/X$3,-9)</f>
        <v>-0.2626182878157124</v>
      </c>
      <c r="Y23">
        <f>IF(ISERROR(MATCH(Y$7,$G$7:$G22,0)),(Y$3*Y$1-Y$2)/Y$3,-9)</f>
        <v>3.516188952635275</v>
      </c>
      <c r="Z23">
        <f>IF(ISERROR(MATCH(Z$7,$G$7:$G22,0)),(Z$3*Z$1-Z$2)/Z$3,-9)</f>
        <v>2.221523244661512</v>
      </c>
      <c r="AA23">
        <f>IF(ISERROR(MATCH(AA$7,$G$7:$G22,0)),(AA$3*AA$1-AA$2)/AA$3,-9)</f>
        <v>8.815362106251996</v>
      </c>
      <c r="AB23">
        <f>IF(ISERROR(MATCH(AB$7,$G$7:$G22,0)),(AB$3*AB$1-AB$2)/AB$3,-9)</f>
        <v>3.0503616825444624</v>
      </c>
      <c r="AC23">
        <f>IF(ISERROR(MATCH(AC$7,$G$7:$G22,0)),(AC$3*AC$1-AC$2)/AC$3,-9)</f>
        <v>2.670427092089085</v>
      </c>
      <c r="AD23">
        <f>IF(ISERROR(MATCH(AD$7,$G$7:$G22,0)),(AD$3*AD$1-AD$2)/AD$3,-9)</f>
        <v>7.6927341423288444</v>
      </c>
      <c r="AE23">
        <f>IF(ISERROR(MATCH(AE$7,$G$7:$G22,0)),(AE$3*AE$1-AE$2)/AE$3,-9)</f>
        <v>3.8557829055935144</v>
      </c>
    </row>
    <row r="24" spans="1:31" ht="13.5">
      <c r="A24">
        <f ca="1" t="shared" si="6"/>
        <v>0.01746330594551382</v>
      </c>
      <c r="B24" s="15">
        <v>16</v>
      </c>
      <c r="C24" t="str">
        <f t="shared" si="7"/>
        <v>terminated</v>
      </c>
      <c r="D24" t="str">
        <f t="shared" si="3"/>
        <v>terminated</v>
      </c>
      <c r="E24" t="str">
        <f t="shared" si="8"/>
        <v>terminated</v>
      </c>
      <c r="F24" s="15">
        <f t="shared" si="4"/>
        <v>8.815362106251996</v>
      </c>
      <c r="G24" s="15" t="str">
        <f t="shared" si="9"/>
        <v>STOP</v>
      </c>
      <c r="H24" t="str">
        <f t="shared" si="10"/>
        <v>terminated</v>
      </c>
      <c r="I24" t="str">
        <f t="shared" si="5"/>
        <v>terminated</v>
      </c>
      <c r="J24">
        <f>MAX(I$8:I24)</f>
        <v>16.259689927101135</v>
      </c>
      <c r="L24">
        <f>IF(ISERROR(MATCH(L$7,$G$7:$G23,0)),(L$3*L$1-L$2)/L$3,-9)</f>
        <v>3.7346382113173604</v>
      </c>
      <c r="M24">
        <f>IF(ISERROR(MATCH(M$7,$G$7:$G23,0)),(M$3*M$1-M$2)/M$3,-9)</f>
        <v>8.285026650701184</v>
      </c>
      <c r="N24">
        <f>IF(ISERROR(MATCH(N$7,$G$7:$G23,0)),(N$3*N$1-N$2)/N$3,-9)</f>
        <v>1.5399956636247225</v>
      </c>
      <c r="O24">
        <f>IF(ISERROR(MATCH(O$7,$G$7:$G23,0)),(O$3*O$1-O$2)/O$3,-9)</f>
        <v>7.652768671396188</v>
      </c>
      <c r="P24">
        <f>IF(ISERROR(MATCH(P$7,$G$7:$G23,0)),(P$3*P$1-P$2)/P$3,-9)</f>
        <v>1.5393817547010258</v>
      </c>
      <c r="Q24">
        <f>IF(ISERROR(MATCH(Q$7,$G$7:$G23,0)),(Q$3*Q$1-Q$2)/Q$3,-9)</f>
        <v>4.23800942269736</v>
      </c>
      <c r="R24">
        <f>IF(ISERROR(MATCH(R$7,$G$7:$G23,0)),(R$3*R$1-R$2)/R$3,-9)</f>
        <v>1.8275710671150591</v>
      </c>
      <c r="S24">
        <f>IF(ISERROR(MATCH(S$7,$G$7:$G23,0)),(S$3*S$1-S$2)/S$3,-9)</f>
        <v>6.591756699781399</v>
      </c>
      <c r="T24">
        <f>IF(ISERROR(MATCH(T$7,$G$7:$G23,0)),(T$3*T$1-T$2)/T$3,-9)</f>
        <v>-9</v>
      </c>
      <c r="U24">
        <f>IF(ISERROR(MATCH(U$7,$G$7:$G23,0)),(U$3*U$1-U$2)/U$3,-9)</f>
        <v>4.231979472824605</v>
      </c>
      <c r="V24">
        <f>IF(ISERROR(MATCH(V$7,$G$7:$G23,0)),(V$3*V$1-V$2)/V$3,-9)</f>
        <v>-0.3910616770735942</v>
      </c>
      <c r="W24">
        <f>IF(ISERROR(MATCH(W$7,$G$7:$G23,0)),(W$3*W$1-W$2)/W$3,-9)</f>
        <v>0.7809723127866164</v>
      </c>
      <c r="X24">
        <f>IF(ISERROR(MATCH(X$7,$G$7:$G23,0)),(X$3*X$1-X$2)/X$3,-9)</f>
        <v>-0.2626182878157124</v>
      </c>
      <c r="Y24">
        <f>IF(ISERROR(MATCH(Y$7,$G$7:$G23,0)),(Y$3*Y$1-Y$2)/Y$3,-9)</f>
        <v>3.516188952635275</v>
      </c>
      <c r="Z24">
        <f>IF(ISERROR(MATCH(Z$7,$G$7:$G23,0)),(Z$3*Z$1-Z$2)/Z$3,-9)</f>
        <v>2.221523244661512</v>
      </c>
      <c r="AA24">
        <f>IF(ISERROR(MATCH(AA$7,$G$7:$G23,0)),(AA$3*AA$1-AA$2)/AA$3,-9)</f>
        <v>8.815362106251996</v>
      </c>
      <c r="AB24">
        <f>IF(ISERROR(MATCH(AB$7,$G$7:$G23,0)),(AB$3*AB$1-AB$2)/AB$3,-9)</f>
        <v>3.0503616825444624</v>
      </c>
      <c r="AC24">
        <f>IF(ISERROR(MATCH(AC$7,$G$7:$G23,0)),(AC$3*AC$1-AC$2)/AC$3,-9)</f>
        <v>2.670427092089085</v>
      </c>
      <c r="AD24">
        <f>IF(ISERROR(MATCH(AD$7,$G$7:$G23,0)),(AD$3*AD$1-AD$2)/AD$3,-9)</f>
        <v>7.6927341423288444</v>
      </c>
      <c r="AE24">
        <f>IF(ISERROR(MATCH(AE$7,$G$7:$G23,0)),(AE$3*AE$1-AE$2)/AE$3,-9)</f>
        <v>3.8557829055935144</v>
      </c>
    </row>
    <row r="25" spans="1:31" ht="13.5">
      <c r="A25">
        <f ca="1" t="shared" si="6"/>
        <v>0.7184546908912108</v>
      </c>
      <c r="B25" s="15">
        <v>17</v>
      </c>
      <c r="C25" t="str">
        <f t="shared" si="7"/>
        <v>terminated</v>
      </c>
      <c r="D25" t="str">
        <f t="shared" si="3"/>
        <v>terminated</v>
      </c>
      <c r="E25" t="str">
        <f t="shared" si="8"/>
        <v>terminated</v>
      </c>
      <c r="F25" s="15">
        <f t="shared" si="4"/>
        <v>8.815362106251996</v>
      </c>
      <c r="G25" s="15" t="str">
        <f t="shared" si="9"/>
        <v>STOP</v>
      </c>
      <c r="H25" t="str">
        <f t="shared" si="10"/>
        <v>terminated</v>
      </c>
      <c r="I25" t="str">
        <f t="shared" si="5"/>
        <v>terminated</v>
      </c>
      <c r="J25">
        <f>MAX(I$8:I25)</f>
        <v>16.259689927101135</v>
      </c>
      <c r="L25">
        <f>IF(ISERROR(MATCH(L$7,$G$7:$G24,0)),(L$3*L$1-L$2)/L$3,-9)</f>
        <v>3.7346382113173604</v>
      </c>
      <c r="M25">
        <f>IF(ISERROR(MATCH(M$7,$G$7:$G24,0)),(M$3*M$1-M$2)/M$3,-9)</f>
        <v>8.285026650701184</v>
      </c>
      <c r="N25">
        <f>IF(ISERROR(MATCH(N$7,$G$7:$G24,0)),(N$3*N$1-N$2)/N$3,-9)</f>
        <v>1.5399956636247225</v>
      </c>
      <c r="O25">
        <f>IF(ISERROR(MATCH(O$7,$G$7:$G24,0)),(O$3*O$1-O$2)/O$3,-9)</f>
        <v>7.652768671396188</v>
      </c>
      <c r="P25">
        <f>IF(ISERROR(MATCH(P$7,$G$7:$G24,0)),(P$3*P$1-P$2)/P$3,-9)</f>
        <v>1.5393817547010258</v>
      </c>
      <c r="Q25">
        <f>IF(ISERROR(MATCH(Q$7,$G$7:$G24,0)),(Q$3*Q$1-Q$2)/Q$3,-9)</f>
        <v>4.23800942269736</v>
      </c>
      <c r="R25">
        <f>IF(ISERROR(MATCH(R$7,$G$7:$G24,0)),(R$3*R$1-R$2)/R$3,-9)</f>
        <v>1.8275710671150591</v>
      </c>
      <c r="S25">
        <f>IF(ISERROR(MATCH(S$7,$G$7:$G24,0)),(S$3*S$1-S$2)/S$3,-9)</f>
        <v>6.591756699781399</v>
      </c>
      <c r="T25">
        <f>IF(ISERROR(MATCH(T$7,$G$7:$G24,0)),(T$3*T$1-T$2)/T$3,-9)</f>
        <v>-9</v>
      </c>
      <c r="U25">
        <f>IF(ISERROR(MATCH(U$7,$G$7:$G24,0)),(U$3*U$1-U$2)/U$3,-9)</f>
        <v>4.231979472824605</v>
      </c>
      <c r="V25">
        <f>IF(ISERROR(MATCH(V$7,$G$7:$G24,0)),(V$3*V$1-V$2)/V$3,-9)</f>
        <v>-0.3910616770735942</v>
      </c>
      <c r="W25">
        <f>IF(ISERROR(MATCH(W$7,$G$7:$G24,0)),(W$3*W$1-W$2)/W$3,-9)</f>
        <v>0.7809723127866164</v>
      </c>
      <c r="X25">
        <f>IF(ISERROR(MATCH(X$7,$G$7:$G24,0)),(X$3*X$1-X$2)/X$3,-9)</f>
        <v>-0.2626182878157124</v>
      </c>
      <c r="Y25">
        <f>IF(ISERROR(MATCH(Y$7,$G$7:$G24,0)),(Y$3*Y$1-Y$2)/Y$3,-9)</f>
        <v>3.516188952635275</v>
      </c>
      <c r="Z25">
        <f>IF(ISERROR(MATCH(Z$7,$G$7:$G24,0)),(Z$3*Z$1-Z$2)/Z$3,-9)</f>
        <v>2.221523244661512</v>
      </c>
      <c r="AA25">
        <f>IF(ISERROR(MATCH(AA$7,$G$7:$G24,0)),(AA$3*AA$1-AA$2)/AA$3,-9)</f>
        <v>8.815362106251996</v>
      </c>
      <c r="AB25">
        <f>IF(ISERROR(MATCH(AB$7,$G$7:$G24,0)),(AB$3*AB$1-AB$2)/AB$3,-9)</f>
        <v>3.0503616825444624</v>
      </c>
      <c r="AC25">
        <f>IF(ISERROR(MATCH(AC$7,$G$7:$G24,0)),(AC$3*AC$1-AC$2)/AC$3,-9)</f>
        <v>2.670427092089085</v>
      </c>
      <c r="AD25">
        <f>IF(ISERROR(MATCH(AD$7,$G$7:$G24,0)),(AD$3*AD$1-AD$2)/AD$3,-9)</f>
        <v>7.6927341423288444</v>
      </c>
      <c r="AE25">
        <f>IF(ISERROR(MATCH(AE$7,$G$7:$G24,0)),(AE$3*AE$1-AE$2)/AE$3,-9)</f>
        <v>3.8557829055935144</v>
      </c>
    </row>
    <row r="26" spans="1:31" ht="13.5">
      <c r="A26">
        <f ca="1" t="shared" si="6"/>
        <v>0.1548462425816033</v>
      </c>
      <c r="B26" s="15">
        <v>18</v>
      </c>
      <c r="C26" t="str">
        <f t="shared" si="7"/>
        <v>terminated</v>
      </c>
      <c r="D26" t="str">
        <f t="shared" si="3"/>
        <v>terminated</v>
      </c>
      <c r="E26" t="str">
        <f t="shared" si="8"/>
        <v>terminated</v>
      </c>
      <c r="F26" s="15">
        <f t="shared" si="4"/>
        <v>8.815362106251996</v>
      </c>
      <c r="G26" s="15" t="str">
        <f t="shared" si="9"/>
        <v>STOP</v>
      </c>
      <c r="H26" t="str">
        <f t="shared" si="10"/>
        <v>terminated</v>
      </c>
      <c r="I26" t="str">
        <f t="shared" si="5"/>
        <v>terminated</v>
      </c>
      <c r="J26">
        <f>MAX(I$8:I26)</f>
        <v>16.259689927101135</v>
      </c>
      <c r="L26">
        <f>IF(ISERROR(MATCH(L$7,$G$7:$G25,0)),(L$3*L$1-L$2)/L$3,-9)</f>
        <v>3.7346382113173604</v>
      </c>
      <c r="M26">
        <f>IF(ISERROR(MATCH(M$7,$G$7:$G25,0)),(M$3*M$1-M$2)/M$3,-9)</f>
        <v>8.285026650701184</v>
      </c>
      <c r="N26">
        <f>IF(ISERROR(MATCH(N$7,$G$7:$G25,0)),(N$3*N$1-N$2)/N$3,-9)</f>
        <v>1.5399956636247225</v>
      </c>
      <c r="O26">
        <f>IF(ISERROR(MATCH(O$7,$G$7:$G25,0)),(O$3*O$1-O$2)/O$3,-9)</f>
        <v>7.652768671396188</v>
      </c>
      <c r="P26">
        <f>IF(ISERROR(MATCH(P$7,$G$7:$G25,0)),(P$3*P$1-P$2)/P$3,-9)</f>
        <v>1.5393817547010258</v>
      </c>
      <c r="Q26">
        <f>IF(ISERROR(MATCH(Q$7,$G$7:$G25,0)),(Q$3*Q$1-Q$2)/Q$3,-9)</f>
        <v>4.23800942269736</v>
      </c>
      <c r="R26">
        <f>IF(ISERROR(MATCH(R$7,$G$7:$G25,0)),(R$3*R$1-R$2)/R$3,-9)</f>
        <v>1.8275710671150591</v>
      </c>
      <c r="S26">
        <f>IF(ISERROR(MATCH(S$7,$G$7:$G25,0)),(S$3*S$1-S$2)/S$3,-9)</f>
        <v>6.591756699781399</v>
      </c>
      <c r="T26">
        <f>IF(ISERROR(MATCH(T$7,$G$7:$G25,0)),(T$3*T$1-T$2)/T$3,-9)</f>
        <v>-9</v>
      </c>
      <c r="U26">
        <f>IF(ISERROR(MATCH(U$7,$G$7:$G25,0)),(U$3*U$1-U$2)/U$3,-9)</f>
        <v>4.231979472824605</v>
      </c>
      <c r="V26">
        <f>IF(ISERROR(MATCH(V$7,$G$7:$G25,0)),(V$3*V$1-V$2)/V$3,-9)</f>
        <v>-0.3910616770735942</v>
      </c>
      <c r="W26">
        <f>IF(ISERROR(MATCH(W$7,$G$7:$G25,0)),(W$3*W$1-W$2)/W$3,-9)</f>
        <v>0.7809723127866164</v>
      </c>
      <c r="X26">
        <f>IF(ISERROR(MATCH(X$7,$G$7:$G25,0)),(X$3*X$1-X$2)/X$3,-9)</f>
        <v>-0.2626182878157124</v>
      </c>
      <c r="Y26">
        <f>IF(ISERROR(MATCH(Y$7,$G$7:$G25,0)),(Y$3*Y$1-Y$2)/Y$3,-9)</f>
        <v>3.516188952635275</v>
      </c>
      <c r="Z26">
        <f>IF(ISERROR(MATCH(Z$7,$G$7:$G25,0)),(Z$3*Z$1-Z$2)/Z$3,-9)</f>
        <v>2.221523244661512</v>
      </c>
      <c r="AA26">
        <f>IF(ISERROR(MATCH(AA$7,$G$7:$G25,0)),(AA$3*AA$1-AA$2)/AA$3,-9)</f>
        <v>8.815362106251996</v>
      </c>
      <c r="AB26">
        <f>IF(ISERROR(MATCH(AB$7,$G$7:$G25,0)),(AB$3*AB$1-AB$2)/AB$3,-9)</f>
        <v>3.0503616825444624</v>
      </c>
      <c r="AC26">
        <f>IF(ISERROR(MATCH(AC$7,$G$7:$G25,0)),(AC$3*AC$1-AC$2)/AC$3,-9)</f>
        <v>2.670427092089085</v>
      </c>
      <c r="AD26">
        <f>IF(ISERROR(MATCH(AD$7,$G$7:$G25,0)),(AD$3*AD$1-AD$2)/AD$3,-9)</f>
        <v>7.6927341423288444</v>
      </c>
      <c r="AE26">
        <f>IF(ISERROR(MATCH(AE$7,$G$7:$G25,0)),(AE$3*AE$1-AE$2)/AE$3,-9)</f>
        <v>3.8557829055935144</v>
      </c>
    </row>
    <row r="27" spans="1:31" ht="13.5">
      <c r="A27">
        <f ca="1" t="shared" si="6"/>
        <v>0.956275393925895</v>
      </c>
      <c r="B27" s="15">
        <v>19</v>
      </c>
      <c r="C27" t="str">
        <f t="shared" si="7"/>
        <v>terminated</v>
      </c>
      <c r="D27" t="str">
        <f t="shared" si="3"/>
        <v>terminated</v>
      </c>
      <c r="E27" t="str">
        <f t="shared" si="8"/>
        <v>terminated</v>
      </c>
      <c r="F27" s="15">
        <f t="shared" si="4"/>
        <v>8.815362106251996</v>
      </c>
      <c r="G27" s="15" t="str">
        <f t="shared" si="9"/>
        <v>STOP</v>
      </c>
      <c r="H27" t="str">
        <f t="shared" si="10"/>
        <v>terminated</v>
      </c>
      <c r="I27" t="str">
        <f t="shared" si="5"/>
        <v>terminated</v>
      </c>
      <c r="J27">
        <f>MAX(I$8:I27)</f>
        <v>16.259689927101135</v>
      </c>
      <c r="L27">
        <f>IF(ISERROR(MATCH(L$7,$G$7:$G26,0)),(L$3*L$1-L$2)/L$3,-9)</f>
        <v>3.7346382113173604</v>
      </c>
      <c r="M27">
        <f>IF(ISERROR(MATCH(M$7,$G$7:$G26,0)),(M$3*M$1-M$2)/M$3,-9)</f>
        <v>8.285026650701184</v>
      </c>
      <c r="N27">
        <f>IF(ISERROR(MATCH(N$7,$G$7:$G26,0)),(N$3*N$1-N$2)/N$3,-9)</f>
        <v>1.5399956636247225</v>
      </c>
      <c r="O27">
        <f>IF(ISERROR(MATCH(O$7,$G$7:$G26,0)),(O$3*O$1-O$2)/O$3,-9)</f>
        <v>7.652768671396188</v>
      </c>
      <c r="P27">
        <f>IF(ISERROR(MATCH(P$7,$G$7:$G26,0)),(P$3*P$1-P$2)/P$3,-9)</f>
        <v>1.5393817547010258</v>
      </c>
      <c r="Q27">
        <f>IF(ISERROR(MATCH(Q$7,$G$7:$G26,0)),(Q$3*Q$1-Q$2)/Q$3,-9)</f>
        <v>4.23800942269736</v>
      </c>
      <c r="R27">
        <f>IF(ISERROR(MATCH(R$7,$G$7:$G26,0)),(R$3*R$1-R$2)/R$3,-9)</f>
        <v>1.8275710671150591</v>
      </c>
      <c r="S27">
        <f>IF(ISERROR(MATCH(S$7,$G$7:$G26,0)),(S$3*S$1-S$2)/S$3,-9)</f>
        <v>6.591756699781399</v>
      </c>
      <c r="T27">
        <f>IF(ISERROR(MATCH(T$7,$G$7:$G26,0)),(T$3*T$1-T$2)/T$3,-9)</f>
        <v>-9</v>
      </c>
      <c r="U27">
        <f>IF(ISERROR(MATCH(U$7,$G$7:$G26,0)),(U$3*U$1-U$2)/U$3,-9)</f>
        <v>4.231979472824605</v>
      </c>
      <c r="V27">
        <f>IF(ISERROR(MATCH(V$7,$G$7:$G26,0)),(V$3*V$1-V$2)/V$3,-9)</f>
        <v>-0.3910616770735942</v>
      </c>
      <c r="W27">
        <f>IF(ISERROR(MATCH(W$7,$G$7:$G26,0)),(W$3*W$1-W$2)/W$3,-9)</f>
        <v>0.7809723127866164</v>
      </c>
      <c r="X27">
        <f>IF(ISERROR(MATCH(X$7,$G$7:$G26,0)),(X$3*X$1-X$2)/X$3,-9)</f>
        <v>-0.2626182878157124</v>
      </c>
      <c r="Y27">
        <f>IF(ISERROR(MATCH(Y$7,$G$7:$G26,0)),(Y$3*Y$1-Y$2)/Y$3,-9)</f>
        <v>3.516188952635275</v>
      </c>
      <c r="Z27">
        <f>IF(ISERROR(MATCH(Z$7,$G$7:$G26,0)),(Z$3*Z$1-Z$2)/Z$3,-9)</f>
        <v>2.221523244661512</v>
      </c>
      <c r="AA27">
        <f>IF(ISERROR(MATCH(AA$7,$G$7:$G26,0)),(AA$3*AA$1-AA$2)/AA$3,-9)</f>
        <v>8.815362106251996</v>
      </c>
      <c r="AB27">
        <f>IF(ISERROR(MATCH(AB$7,$G$7:$G26,0)),(AB$3*AB$1-AB$2)/AB$3,-9)</f>
        <v>3.0503616825444624</v>
      </c>
      <c r="AC27">
        <f>IF(ISERROR(MATCH(AC$7,$G$7:$G26,0)),(AC$3*AC$1-AC$2)/AC$3,-9)</f>
        <v>2.670427092089085</v>
      </c>
      <c r="AD27">
        <f>IF(ISERROR(MATCH(AD$7,$G$7:$G26,0)),(AD$3*AD$1-AD$2)/AD$3,-9)</f>
        <v>7.6927341423288444</v>
      </c>
      <c r="AE27">
        <f>IF(ISERROR(MATCH(AE$7,$G$7:$G26,0)),(AE$3*AE$1-AE$2)/AE$3,-9)</f>
        <v>3.8557829055935144</v>
      </c>
    </row>
    <row r="28" spans="1:31" ht="13.5">
      <c r="A28">
        <f ca="1" t="shared" si="6"/>
        <v>0.7919707462148038</v>
      </c>
      <c r="B28" s="15">
        <v>20</v>
      </c>
      <c r="C28" t="str">
        <f t="shared" si="7"/>
        <v>terminated</v>
      </c>
      <c r="D28" t="str">
        <f t="shared" si="3"/>
        <v>terminated</v>
      </c>
      <c r="E28" t="str">
        <f t="shared" si="8"/>
        <v>terminated</v>
      </c>
      <c r="F28" s="15">
        <f t="shared" si="4"/>
        <v>8.815362106251996</v>
      </c>
      <c r="G28" s="15" t="str">
        <f t="shared" si="9"/>
        <v>STOP</v>
      </c>
      <c r="H28" t="str">
        <f t="shared" si="10"/>
        <v>terminated</v>
      </c>
      <c r="I28" t="str">
        <f t="shared" si="5"/>
        <v>terminated</v>
      </c>
      <c r="J28">
        <f>MAX(I$8:I28)</f>
        <v>16.259689927101135</v>
      </c>
      <c r="L28">
        <f>IF(ISERROR(MATCH(L$7,$G$7:$G27,0)),(L$3*L$1-L$2)/L$3,-9)</f>
        <v>3.7346382113173604</v>
      </c>
      <c r="M28">
        <f>IF(ISERROR(MATCH(M$7,$G$7:$G27,0)),(M$3*M$1-M$2)/M$3,-9)</f>
        <v>8.285026650701184</v>
      </c>
      <c r="N28">
        <f>IF(ISERROR(MATCH(N$7,$G$7:$G27,0)),(N$3*N$1-N$2)/N$3,-9)</f>
        <v>1.5399956636247225</v>
      </c>
      <c r="O28">
        <f>IF(ISERROR(MATCH(O$7,$G$7:$G27,0)),(O$3*O$1-O$2)/O$3,-9)</f>
        <v>7.652768671396188</v>
      </c>
      <c r="P28">
        <f>IF(ISERROR(MATCH(P$7,$G$7:$G27,0)),(P$3*P$1-P$2)/P$3,-9)</f>
        <v>1.5393817547010258</v>
      </c>
      <c r="Q28">
        <f>IF(ISERROR(MATCH(Q$7,$G$7:$G27,0)),(Q$3*Q$1-Q$2)/Q$3,-9)</f>
        <v>4.23800942269736</v>
      </c>
      <c r="R28">
        <f>IF(ISERROR(MATCH(R$7,$G$7:$G27,0)),(R$3*R$1-R$2)/R$3,-9)</f>
        <v>1.8275710671150591</v>
      </c>
      <c r="S28">
        <f>IF(ISERROR(MATCH(S$7,$G$7:$G27,0)),(S$3*S$1-S$2)/S$3,-9)</f>
        <v>6.591756699781399</v>
      </c>
      <c r="T28">
        <f>IF(ISERROR(MATCH(T$7,$G$7:$G27,0)),(T$3*T$1-T$2)/T$3,-9)</f>
        <v>-9</v>
      </c>
      <c r="U28">
        <f>IF(ISERROR(MATCH(U$7,$G$7:$G27,0)),(U$3*U$1-U$2)/U$3,-9)</f>
        <v>4.231979472824605</v>
      </c>
      <c r="V28">
        <f>IF(ISERROR(MATCH(V$7,$G$7:$G27,0)),(V$3*V$1-V$2)/V$3,-9)</f>
        <v>-0.3910616770735942</v>
      </c>
      <c r="W28">
        <f>IF(ISERROR(MATCH(W$7,$G$7:$G27,0)),(W$3*W$1-W$2)/W$3,-9)</f>
        <v>0.7809723127866164</v>
      </c>
      <c r="X28">
        <f>IF(ISERROR(MATCH(X$7,$G$7:$G27,0)),(X$3*X$1-X$2)/X$3,-9)</f>
        <v>-0.2626182878157124</v>
      </c>
      <c r="Y28">
        <f>IF(ISERROR(MATCH(Y$7,$G$7:$G27,0)),(Y$3*Y$1-Y$2)/Y$3,-9)</f>
        <v>3.516188952635275</v>
      </c>
      <c r="Z28">
        <f>IF(ISERROR(MATCH(Z$7,$G$7:$G27,0)),(Z$3*Z$1-Z$2)/Z$3,-9)</f>
        <v>2.221523244661512</v>
      </c>
      <c r="AA28">
        <f>IF(ISERROR(MATCH(AA$7,$G$7:$G27,0)),(AA$3*AA$1-AA$2)/AA$3,-9)</f>
        <v>8.815362106251996</v>
      </c>
      <c r="AB28">
        <f>IF(ISERROR(MATCH(AB$7,$G$7:$G27,0)),(AB$3*AB$1-AB$2)/AB$3,-9)</f>
        <v>3.0503616825444624</v>
      </c>
      <c r="AC28">
        <f>IF(ISERROR(MATCH(AC$7,$G$7:$G27,0)),(AC$3*AC$1-AC$2)/AC$3,-9)</f>
        <v>2.670427092089085</v>
      </c>
      <c r="AD28">
        <f>IF(ISERROR(MATCH(AD$7,$G$7:$G27,0)),(AD$3*AD$1-AD$2)/AD$3,-9)</f>
        <v>7.6927341423288444</v>
      </c>
      <c r="AE28">
        <f>IF(ISERROR(MATCH(AE$7,$G$7:$G27,0)),(AE$3*AE$1-AE$2)/AE$3,-9)</f>
        <v>3.8557829055935144</v>
      </c>
    </row>
    <row r="29" spans="12:31" ht="13.5">
      <c r="L29">
        <v>-9</v>
      </c>
      <c r="M29">
        <v>-9</v>
      </c>
      <c r="N29">
        <v>-9</v>
      </c>
      <c r="O29">
        <v>-9</v>
      </c>
      <c r="P29">
        <v>-9</v>
      </c>
      <c r="Q29">
        <v>-9</v>
      </c>
      <c r="R29">
        <v>-9</v>
      </c>
      <c r="S29">
        <v>-9</v>
      </c>
      <c r="T29">
        <v>-9</v>
      </c>
      <c r="U29">
        <v>-9</v>
      </c>
      <c r="V29">
        <v>-9</v>
      </c>
      <c r="W29">
        <v>-9</v>
      </c>
      <c r="X29">
        <v>-9</v>
      </c>
      <c r="Y29">
        <v>-9</v>
      </c>
      <c r="Z29">
        <v>-9</v>
      </c>
      <c r="AA29">
        <v>-9</v>
      </c>
      <c r="AB29">
        <v>-9</v>
      </c>
      <c r="AC29">
        <v>-9</v>
      </c>
      <c r="AD29">
        <v>-9</v>
      </c>
      <c r="AE29">
        <v>-9</v>
      </c>
    </row>
  </sheetData>
  <conditionalFormatting sqref="B8:J28">
    <cfRule type="expression" priority="1" dxfId="0" stopIfTrue="1">
      <formula>NOT($G8="STOP")</formula>
    </cfRule>
    <cfRule type="expression" priority="2" dxfId="1" stopIfTrue="1">
      <formula>NOT($G7="STOP")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0"/>
  <sheetViews>
    <sheetView workbookViewId="0" topLeftCell="A1">
      <selection activeCell="A22" sqref="A22"/>
    </sheetView>
  </sheetViews>
  <sheetFormatPr defaultColWidth="9.00390625" defaultRowHeight="13.5"/>
  <sheetData>
    <row r="1" spans="1:3" ht="13.5">
      <c r="A1" t="s">
        <v>80</v>
      </c>
      <c r="C1" t="s">
        <v>102</v>
      </c>
    </row>
    <row r="2" spans="2:8" ht="13.5">
      <c r="B2" t="s">
        <v>98</v>
      </c>
      <c r="E2" t="s">
        <v>97</v>
      </c>
      <c r="H2" t="s">
        <v>120</v>
      </c>
    </row>
    <row r="3" spans="1:10" ht="14.25" thickBot="1">
      <c r="A3" s="7" t="s">
        <v>107</v>
      </c>
      <c r="B3" t="s">
        <v>81</v>
      </c>
      <c r="C3" t="s">
        <v>84</v>
      </c>
      <c r="E3" t="s">
        <v>87</v>
      </c>
      <c r="F3" t="s">
        <v>92</v>
      </c>
      <c r="H3" t="s">
        <v>108</v>
      </c>
      <c r="J3" t="s">
        <v>109</v>
      </c>
    </row>
    <row r="4" spans="1:10" ht="13.5">
      <c r="A4">
        <v>1</v>
      </c>
      <c r="B4" s="9" t="s">
        <v>83</v>
      </c>
      <c r="C4" s="10" t="s">
        <v>85</v>
      </c>
      <c r="E4" s="9" t="s">
        <v>88</v>
      </c>
      <c r="F4" s="10" t="s">
        <v>90</v>
      </c>
      <c r="H4" s="21" t="s">
        <v>93</v>
      </c>
      <c r="J4" s="21" t="s">
        <v>95</v>
      </c>
    </row>
    <row r="5" spans="1:10" ht="14.25" thickBot="1">
      <c r="A5">
        <v>2</v>
      </c>
      <c r="B5" s="11" t="s">
        <v>82</v>
      </c>
      <c r="C5" s="12" t="s">
        <v>86</v>
      </c>
      <c r="E5" s="11" t="s">
        <v>89</v>
      </c>
      <c r="F5" s="12" t="s">
        <v>91</v>
      </c>
      <c r="H5" s="22" t="s">
        <v>94</v>
      </c>
      <c r="J5" s="22" t="s">
        <v>96</v>
      </c>
    </row>
    <row r="7" spans="2:8" ht="13.5">
      <c r="B7" t="s">
        <v>116</v>
      </c>
      <c r="H7" s="15" t="s">
        <v>106</v>
      </c>
    </row>
    <row r="8" spans="2:12" ht="13.5">
      <c r="B8" t="s">
        <v>115</v>
      </c>
      <c r="H8" s="29" t="s">
        <v>104</v>
      </c>
      <c r="I8" s="30"/>
      <c r="J8" s="23" t="s">
        <v>103</v>
      </c>
      <c r="K8" s="24"/>
      <c r="L8" s="25"/>
    </row>
    <row r="9" spans="8:12" ht="13.5">
      <c r="H9" s="31" t="s">
        <v>99</v>
      </c>
      <c r="I9" s="32"/>
      <c r="J9" s="26" t="s">
        <v>114</v>
      </c>
      <c r="K9" s="27"/>
      <c r="L9" s="28"/>
    </row>
    <row r="10" spans="2:12" ht="13.5">
      <c r="B10" t="s">
        <v>122</v>
      </c>
      <c r="H10" s="39" t="s">
        <v>110</v>
      </c>
      <c r="I10" s="40"/>
      <c r="J10" s="33" t="s">
        <v>105</v>
      </c>
      <c r="K10" s="34"/>
      <c r="L10" s="35"/>
    </row>
    <row r="11" spans="2:12" ht="13.5">
      <c r="B11" t="s">
        <v>117</v>
      </c>
      <c r="H11" s="41" t="s">
        <v>111</v>
      </c>
      <c r="I11" s="42"/>
      <c r="J11" s="36" t="s">
        <v>113</v>
      </c>
      <c r="K11" s="37"/>
      <c r="L11" s="38"/>
    </row>
    <row r="12" spans="2:8" ht="13.5">
      <c r="B12" t="s">
        <v>118</v>
      </c>
      <c r="H12" t="s">
        <v>112</v>
      </c>
    </row>
    <row r="13" ht="13.5">
      <c r="B13" t="s">
        <v>119</v>
      </c>
    </row>
    <row r="15" ht="13.5">
      <c r="B15" t="s">
        <v>121</v>
      </c>
    </row>
    <row r="16" ht="13.5">
      <c r="B16" t="s">
        <v>124</v>
      </c>
    </row>
    <row r="17" ht="13.5">
      <c r="B17" t="s">
        <v>123</v>
      </c>
    </row>
    <row r="19" ht="13.5">
      <c r="B19" t="s">
        <v>125</v>
      </c>
    </row>
    <row r="20" ht="13.5">
      <c r="B20" t="s">
        <v>126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Z226"/>
  <sheetViews>
    <sheetView tabSelected="1" workbookViewId="0" topLeftCell="A1">
      <selection activeCell="E5" sqref="E5"/>
    </sheetView>
  </sheetViews>
  <sheetFormatPr defaultColWidth="9.00390625" defaultRowHeight="13.5"/>
  <cols>
    <col min="7" max="7" width="10.50390625" style="0" bestFit="1" customWidth="1"/>
    <col min="11" max="11" width="10.125" style="0" customWidth="1"/>
    <col min="17" max="26" width="6.875" style="0" customWidth="1"/>
  </cols>
  <sheetData>
    <row r="1" spans="1:7" ht="13.5">
      <c r="A1" t="s">
        <v>128</v>
      </c>
      <c r="G1" s="1">
        <v>37065</v>
      </c>
    </row>
    <row r="2" ht="13.5">
      <c r="A2" t="s">
        <v>127</v>
      </c>
    </row>
    <row r="3" ht="13.5">
      <c r="B3" t="s">
        <v>130</v>
      </c>
    </row>
    <row r="4" ht="13.5">
      <c r="B4" t="s">
        <v>145</v>
      </c>
    </row>
    <row r="5" spans="2:11" ht="13.5">
      <c r="B5" t="s">
        <v>146</v>
      </c>
      <c r="K5">
        <f>PEARSON({9,7,5,3,1},{10,6,1,5,3})</f>
        <v>0.6993786061802354</v>
      </c>
    </row>
    <row r="6" spans="2:11" ht="13.5">
      <c r="B6" t="s">
        <v>147</v>
      </c>
      <c r="K6">
        <f>CORREL({9,7,5,3,1},{10,6,1,5,3})</f>
        <v>0.6993786061802353</v>
      </c>
    </row>
    <row r="13" spans="2:12" ht="13.5">
      <c r="B13" t="s">
        <v>129</v>
      </c>
      <c r="L13" t="s">
        <v>178</v>
      </c>
    </row>
    <row r="14" ht="13.5">
      <c r="B14" t="s">
        <v>179</v>
      </c>
    </row>
    <row r="16" ht="13.5">
      <c r="B16" t="s">
        <v>131</v>
      </c>
    </row>
    <row r="17" ht="13.5">
      <c r="B17" t="s">
        <v>141</v>
      </c>
    </row>
    <row r="19" ht="13.5">
      <c r="B19" s="15" t="s">
        <v>132</v>
      </c>
    </row>
    <row r="20" ht="13.5">
      <c r="B20" s="43" t="s">
        <v>133</v>
      </c>
    </row>
    <row r="21" ht="13.5">
      <c r="B21" s="43" t="s">
        <v>134</v>
      </c>
    </row>
    <row r="22" ht="13.5">
      <c r="B22" s="43" t="s">
        <v>135</v>
      </c>
    </row>
    <row r="23" ht="13.5">
      <c r="B23" s="43" t="s">
        <v>137</v>
      </c>
    </row>
    <row r="24" ht="13.5">
      <c r="B24" s="43" t="s">
        <v>136</v>
      </c>
    </row>
    <row r="25" ht="14.25" thickBot="1"/>
    <row r="26" spans="1:4" ht="14.25" thickBot="1">
      <c r="A26" s="65" t="s">
        <v>155</v>
      </c>
      <c r="B26" s="21">
        <v>1.4</v>
      </c>
      <c r="C26" t="s">
        <v>166</v>
      </c>
      <c r="D26" s="15" t="s">
        <v>157</v>
      </c>
    </row>
    <row r="27" spans="1:5" ht="14.25" thickBot="1">
      <c r="A27" s="65" t="s">
        <v>156</v>
      </c>
      <c r="B27" s="22">
        <v>2</v>
      </c>
      <c r="C27" t="s">
        <v>166</v>
      </c>
      <c r="D27" s="56">
        <v>1</v>
      </c>
      <c r="E27" s="55" t="s">
        <v>165</v>
      </c>
    </row>
    <row r="28" spans="1:11" ht="14.25" thickBot="1">
      <c r="A28" s="68" t="str">
        <f>"x＼"&amp;IF(D27=1,"α",IF(D27=2,"β","DK"))</f>
        <v>x＼α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</row>
    <row r="29" spans="1:11" ht="13.5">
      <c r="A29">
        <v>0.1</v>
      </c>
      <c r="B29" s="57">
        <f aca="true" t="shared" si="0" ref="B29:K29">BETADIST(A29,IF($D$27=1,B$28,$B$26),IF($D$27=2,B$28,$B$27))</f>
        <v>0.19000000000139933</v>
      </c>
      <c r="C29" s="58">
        <f t="shared" si="0"/>
        <v>0.09458200000371182</v>
      </c>
      <c r="D29" s="58">
        <f t="shared" si="0"/>
        <v>0.003144349910964231</v>
      </c>
      <c r="E29" s="58">
        <f t="shared" si="0"/>
        <v>4.875280933989461E-10</v>
      </c>
      <c r="F29" s="58">
        <f t="shared" si="0"/>
        <v>1.652530498052477E-46</v>
      </c>
      <c r="G29" s="58">
        <f t="shared" si="0"/>
        <v>1.4255909832082557E-274</v>
      </c>
      <c r="H29" s="58">
        <f t="shared" si="0"/>
        <v>0</v>
      </c>
      <c r="I29" s="58">
        <f t="shared" si="0"/>
        <v>0</v>
      </c>
      <c r="J29" s="58">
        <f t="shared" si="0"/>
        <v>0</v>
      </c>
      <c r="K29" s="59">
        <f t="shared" si="0"/>
        <v>0</v>
      </c>
    </row>
    <row r="30" spans="1:11" ht="13.5">
      <c r="A30">
        <v>0.2</v>
      </c>
      <c r="B30" s="60">
        <f aca="true" t="shared" si="1" ref="B30:K30">BETADIST(A30,IF($D$27=1,B$28,$B$26),IF($D$27=2,B$28,$B$27))</f>
        <v>0.3600000000026514</v>
      </c>
      <c r="C30" s="49">
        <f t="shared" si="1"/>
        <v>0.2954880000112248</v>
      </c>
      <c r="D30" s="49">
        <f t="shared" si="1"/>
        <v>0.0803291991509326</v>
      </c>
      <c r="E30" s="49">
        <f t="shared" si="1"/>
        <v>0.00019481275533904678</v>
      </c>
      <c r="F30" s="49">
        <f t="shared" si="1"/>
        <v>1.6833238775528912E-18</v>
      </c>
      <c r="G30" s="49">
        <f t="shared" si="1"/>
        <v>1.5925905816165236E-106</v>
      </c>
      <c r="H30" s="49">
        <f t="shared" si="1"/>
        <v>0</v>
      </c>
      <c r="I30" s="49">
        <f t="shared" si="1"/>
        <v>0</v>
      </c>
      <c r="J30" s="49">
        <f t="shared" si="1"/>
        <v>0</v>
      </c>
      <c r="K30" s="61">
        <f t="shared" si="1"/>
        <v>0</v>
      </c>
    </row>
    <row r="31" spans="1:11" ht="13.5">
      <c r="A31">
        <v>0.3</v>
      </c>
      <c r="B31" s="60">
        <f aca="true" t="shared" si="2" ref="B31:K31">BETADIST(A31,IF($D$27=1,B$28,$B$26),IF($D$27=2,B$28,$B$27))</f>
        <v>0.510000000003756</v>
      </c>
      <c r="C31" s="49">
        <f t="shared" si="2"/>
        <v>0.5149979999932239</v>
      </c>
      <c r="D31" s="49">
        <f t="shared" si="2"/>
        <v>0.33532751091480323</v>
      </c>
      <c r="E31" s="49">
        <f t="shared" si="2"/>
        <v>0.04625965070456484</v>
      </c>
      <c r="F31" s="49">
        <f t="shared" si="2"/>
        <v>1.222052409436251E-06</v>
      </c>
      <c r="G31" s="49">
        <f t="shared" si="2"/>
        <v>2.331506201426354E-35</v>
      </c>
      <c r="H31" s="49">
        <f t="shared" si="2"/>
        <v>2.99602899201755E-242</v>
      </c>
      <c r="I31" s="49">
        <f t="shared" si="2"/>
        <v>0</v>
      </c>
      <c r="J31" s="49">
        <f t="shared" si="2"/>
        <v>0</v>
      </c>
      <c r="K31" s="61">
        <f t="shared" si="2"/>
        <v>0</v>
      </c>
    </row>
    <row r="32" spans="1:11" ht="13.5">
      <c r="A32">
        <v>0.4</v>
      </c>
      <c r="B32" s="60">
        <f aca="true" t="shared" si="3" ref="B32:K32">BETADIST(A32,IF($D$27=1,B$28,$B$26),IF($D$27=2,B$28,$B$27))</f>
        <v>0.6400000000047135</v>
      </c>
      <c r="C32" s="49">
        <f t="shared" si="3"/>
        <v>0.7045119999989562</v>
      </c>
      <c r="D32" s="49">
        <f t="shared" si="3"/>
        <v>0.6596502121543164</v>
      </c>
      <c r="E32" s="49">
        <f t="shared" si="3"/>
        <v>0.4471201358945328</v>
      </c>
      <c r="F32" s="49">
        <f t="shared" si="3"/>
        <v>0.06726928775368878</v>
      </c>
      <c r="G32" s="49">
        <f t="shared" si="3"/>
        <v>6.112331838493162E-07</v>
      </c>
      <c r="H32" s="49">
        <f t="shared" si="3"/>
        <v>2.549988507560445E-43</v>
      </c>
      <c r="I32" s="49">
        <f t="shared" si="3"/>
        <v>0</v>
      </c>
      <c r="J32" s="49">
        <f t="shared" si="3"/>
        <v>0</v>
      </c>
      <c r="K32" s="61">
        <f t="shared" si="3"/>
        <v>0</v>
      </c>
    </row>
    <row r="33" spans="1:11" ht="13.5">
      <c r="A33">
        <v>0.5</v>
      </c>
      <c r="B33" s="60">
        <f aca="true" t="shared" si="4" ref="B33:K33">BETADIST(A33,IF($D$27=1,B$28,$B$26),IF($D$27=2,B$28,$B$27))</f>
        <v>0.7499999999981588</v>
      </c>
      <c r="C33" s="49">
        <f t="shared" si="4"/>
        <v>0.8437499999939314</v>
      </c>
      <c r="D33" s="49">
        <f t="shared" si="4"/>
        <v>0.8822450637688481</v>
      </c>
      <c r="E33" s="49">
        <f t="shared" si="4"/>
        <v>0.8912005598167567</v>
      </c>
      <c r="F33" s="49">
        <f t="shared" si="4"/>
        <v>0.8680080679200395</v>
      </c>
      <c r="G33" s="49">
        <f t="shared" si="4"/>
        <v>0.7664235565935889</v>
      </c>
      <c r="H33" s="49">
        <f t="shared" si="4"/>
        <v>0.40932504445485574</v>
      </c>
      <c r="I33" s="49">
        <f t="shared" si="4"/>
        <v>0.0045118260564148294</v>
      </c>
      <c r="J33" s="49">
        <f t="shared" si="4"/>
        <v>7.716209792786775E-21</v>
      </c>
      <c r="K33" s="61">
        <f t="shared" si="4"/>
        <v>8.23062765339122E-201</v>
      </c>
    </row>
    <row r="34" spans="1:11" ht="13.5">
      <c r="A34">
        <v>0.6</v>
      </c>
      <c r="B34" s="60">
        <f aca="true" t="shared" si="5" ref="B34:K34">BETADIST(A34,IF($D$27=1,B$28,$B$26),IF($D$27=2,B$28,$B$27))</f>
        <v>0.8399999999988216</v>
      </c>
      <c r="C34" s="49">
        <f t="shared" si="5"/>
        <v>0.9313919999972945</v>
      </c>
      <c r="D34" s="49">
        <f t="shared" si="5"/>
        <v>0.9742747193351584</v>
      </c>
      <c r="E34" s="49">
        <f t="shared" si="5"/>
        <v>0.9937160696260756</v>
      </c>
      <c r="F34" s="49">
        <f t="shared" si="5"/>
        <v>0.9994175388914794</v>
      </c>
      <c r="G34" s="49">
        <f t="shared" si="5"/>
        <v>0.9999928893405595</v>
      </c>
      <c r="H34" s="49">
        <f t="shared" si="5"/>
        <v>0.9999999985843189</v>
      </c>
      <c r="I34" s="49">
        <f t="shared" si="5"/>
        <v>0.9999999999999999</v>
      </c>
      <c r="J34" s="49">
        <f t="shared" si="5"/>
        <v>1</v>
      </c>
      <c r="K34" s="61">
        <f t="shared" si="5"/>
        <v>1</v>
      </c>
    </row>
    <row r="35" spans="1:11" ht="13.5">
      <c r="A35">
        <v>0.7</v>
      </c>
      <c r="B35" s="60">
        <f aca="true" t="shared" si="6" ref="B35:K35">BETADIST(A35,IF($D$27=1,B$28,$B$26),IF($D$27=2,B$28,$B$27))</f>
        <v>0.9099999999993371</v>
      </c>
      <c r="C35" s="49">
        <f t="shared" si="6"/>
        <v>0.9771579999990899</v>
      </c>
      <c r="D35" s="49">
        <f t="shared" si="6"/>
        <v>0.9969639853052233</v>
      </c>
      <c r="E35" s="49">
        <f t="shared" si="6"/>
        <v>0.9999083845566951</v>
      </c>
      <c r="F35" s="49">
        <f t="shared" si="6"/>
        <v>0.9999998741299136</v>
      </c>
      <c r="G35" s="49">
        <f t="shared" si="6"/>
        <v>0.9999999999996673</v>
      </c>
      <c r="H35" s="49">
        <f t="shared" si="6"/>
        <v>1</v>
      </c>
      <c r="I35" s="49">
        <f t="shared" si="6"/>
        <v>1</v>
      </c>
      <c r="J35" s="49">
        <f t="shared" si="6"/>
        <v>1</v>
      </c>
      <c r="K35" s="61">
        <f t="shared" si="6"/>
        <v>1</v>
      </c>
    </row>
    <row r="36" spans="1:11" ht="13.5">
      <c r="A36">
        <v>0.8</v>
      </c>
      <c r="B36" s="60">
        <f aca="true" t="shared" si="7" ref="B36:K36">BETADIST(A36,IF($D$27=1,B$28,$B$26),IF($D$27=2,B$28,$B$27))</f>
        <v>0.9599999999997054</v>
      </c>
      <c r="C36" s="49">
        <f t="shared" si="7"/>
        <v>0.9953279999998126</v>
      </c>
      <c r="D36" s="49">
        <f t="shared" si="7"/>
        <v>0.9998698488944336</v>
      </c>
      <c r="E36" s="49">
        <f t="shared" si="7"/>
        <v>0.9999998306509863</v>
      </c>
      <c r="F36" s="49">
        <f t="shared" si="7"/>
        <v>0.9999999999995698</v>
      </c>
      <c r="G36" s="49">
        <f t="shared" si="7"/>
        <v>1</v>
      </c>
      <c r="H36" s="49">
        <f t="shared" si="7"/>
        <v>1</v>
      </c>
      <c r="I36" s="49">
        <f t="shared" si="7"/>
        <v>1</v>
      </c>
      <c r="J36" s="49">
        <f t="shared" si="7"/>
        <v>1</v>
      </c>
      <c r="K36" s="61">
        <f t="shared" si="7"/>
        <v>1</v>
      </c>
    </row>
    <row r="37" spans="1:11" ht="13.5">
      <c r="A37">
        <v>0.9</v>
      </c>
      <c r="B37" s="60">
        <f aca="true" t="shared" si="8" ref="B37:K37">BETADIST(A37,IF($D$27=1,B$28,$B$26),IF($D$27=2,B$28,$B$27))</f>
        <v>0.9899999999999264</v>
      </c>
      <c r="C37" s="49">
        <f t="shared" si="8"/>
        <v>0.999701999999988</v>
      </c>
      <c r="D37" s="49">
        <f t="shared" si="8"/>
        <v>0.999999467387685</v>
      </c>
      <c r="E37" s="49">
        <f t="shared" si="8"/>
        <v>0.9999999999971633</v>
      </c>
      <c r="F37" s="49">
        <f t="shared" si="8"/>
        <v>1</v>
      </c>
      <c r="G37" s="49">
        <f t="shared" si="8"/>
        <v>1</v>
      </c>
      <c r="H37" s="49">
        <f t="shared" si="8"/>
        <v>1</v>
      </c>
      <c r="I37" s="49">
        <f t="shared" si="8"/>
        <v>1</v>
      </c>
      <c r="J37" s="49">
        <f t="shared" si="8"/>
        <v>1</v>
      </c>
      <c r="K37" s="61">
        <f t="shared" si="8"/>
        <v>1</v>
      </c>
    </row>
    <row r="38" spans="1:11" ht="14.25" thickBot="1">
      <c r="A38">
        <v>1</v>
      </c>
      <c r="B38" s="62">
        <f aca="true" t="shared" si="9" ref="B38:K38">BETADIST(A38,IF($D$27=1,B$28,$B$26),IF($D$27=2,B$28,$B$27))</f>
        <v>1</v>
      </c>
      <c r="C38" s="63">
        <f t="shared" si="9"/>
        <v>1</v>
      </c>
      <c r="D38" s="63">
        <f t="shared" si="9"/>
        <v>1</v>
      </c>
      <c r="E38" s="63">
        <f t="shared" si="9"/>
        <v>1</v>
      </c>
      <c r="F38" s="63">
        <f t="shared" si="9"/>
        <v>1</v>
      </c>
      <c r="G38" s="63">
        <f t="shared" si="9"/>
        <v>1</v>
      </c>
      <c r="H38" s="63">
        <f t="shared" si="9"/>
        <v>1</v>
      </c>
      <c r="I38" s="63">
        <f t="shared" si="9"/>
        <v>1</v>
      </c>
      <c r="J38" s="63">
        <f t="shared" si="9"/>
        <v>1</v>
      </c>
      <c r="K38" s="64">
        <f t="shared" si="9"/>
        <v>1</v>
      </c>
    </row>
    <row r="39" ht="14.25" thickBot="1"/>
    <row r="40" spans="1:4" ht="14.25" thickBot="1">
      <c r="A40" s="6" t="s">
        <v>139</v>
      </c>
      <c r="B40" s="44">
        <v>0.9</v>
      </c>
      <c r="D40" s="15" t="s">
        <v>158</v>
      </c>
    </row>
    <row r="41" spans="1:11" ht="13.5">
      <c r="A41" s="6" t="s">
        <v>138</v>
      </c>
      <c r="B41">
        <v>1</v>
      </c>
      <c r="C41">
        <v>2</v>
      </c>
      <c r="D41">
        <v>3</v>
      </c>
      <c r="E41">
        <v>4</v>
      </c>
      <c r="F41">
        <v>5</v>
      </c>
      <c r="G41">
        <v>6</v>
      </c>
      <c r="H41">
        <v>7</v>
      </c>
      <c r="I41">
        <v>8</v>
      </c>
      <c r="J41">
        <v>9</v>
      </c>
      <c r="K41">
        <v>10</v>
      </c>
    </row>
    <row r="42" spans="1:11" ht="13.5">
      <c r="A42">
        <v>1</v>
      </c>
      <c r="B42" s="45">
        <f aca="true" t="shared" si="10" ref="B42:B51">BETADIST($B$40,B$41,$A42)</f>
        <v>0.9000000000002336</v>
      </c>
      <c r="C42" s="46">
        <f aca="true" t="shared" si="11" ref="C42:K51">BETADIST($B$40,C$41,$A42)</f>
        <v>0.8099999999986008</v>
      </c>
      <c r="D42" s="46">
        <f t="shared" si="11"/>
        <v>0.728999999995696</v>
      </c>
      <c r="E42" s="46">
        <f t="shared" si="11"/>
        <v>0.6560999999922776</v>
      </c>
      <c r="F42" s="46">
        <f t="shared" si="11"/>
        <v>0.5904900000117957</v>
      </c>
      <c r="G42" s="46">
        <f t="shared" si="11"/>
        <v>0.5314409999854282</v>
      </c>
      <c r="H42" s="46">
        <f t="shared" si="11"/>
        <v>0.4782968999815984</v>
      </c>
      <c r="I42" s="46">
        <f t="shared" si="11"/>
        <v>0.4304672099741126</v>
      </c>
      <c r="J42" s="46">
        <f t="shared" si="11"/>
        <v>0.3874204889510565</v>
      </c>
      <c r="K42" s="47">
        <f t="shared" si="11"/>
        <v>0.348678439976461</v>
      </c>
    </row>
    <row r="43" spans="1:11" ht="13.5">
      <c r="A43">
        <v>2</v>
      </c>
      <c r="B43" s="48">
        <f t="shared" si="10"/>
        <v>0.9899999999999264</v>
      </c>
      <c r="C43" s="49">
        <f t="shared" si="11"/>
        <v>0.9719999999992837</v>
      </c>
      <c r="D43" s="49">
        <f t="shared" si="11"/>
        <v>0.9476999999978728</v>
      </c>
      <c r="E43" s="49">
        <f t="shared" si="11"/>
        <v>0.9185399999957533</v>
      </c>
      <c r="F43" s="49">
        <f t="shared" si="11"/>
        <v>0.8857349999943425</v>
      </c>
      <c r="G43" s="49">
        <f t="shared" si="11"/>
        <v>0.8503056000038507</v>
      </c>
      <c r="H43" s="49">
        <f t="shared" si="11"/>
        <v>0.8131047299865621</v>
      </c>
      <c r="I43" s="49">
        <f t="shared" si="11"/>
        <v>0.774840977982713</v>
      </c>
      <c r="J43" s="49">
        <f t="shared" si="11"/>
        <v>0.7360989290776792</v>
      </c>
      <c r="K43" s="50">
        <f t="shared" si="11"/>
        <v>0.6973568801688335</v>
      </c>
    </row>
    <row r="44" spans="1:11" ht="13.5">
      <c r="A44">
        <v>3</v>
      </c>
      <c r="B44" s="48">
        <f t="shared" si="10"/>
        <v>0.9989999999999841</v>
      </c>
      <c r="C44" s="49">
        <f t="shared" si="11"/>
        <v>0.9962999999998495</v>
      </c>
      <c r="D44" s="49">
        <f t="shared" si="11"/>
        <v>0.9914399999994808</v>
      </c>
      <c r="E44" s="49">
        <f t="shared" si="11"/>
        <v>0.9841499999987999</v>
      </c>
      <c r="F44" s="49">
        <f t="shared" si="11"/>
        <v>0.9743084999978434</v>
      </c>
      <c r="G44" s="49">
        <f t="shared" si="11"/>
        <v>0.9619082099972684</v>
      </c>
      <c r="H44" s="49">
        <f t="shared" si="11"/>
        <v>0.9470278620003542</v>
      </c>
      <c r="I44" s="49">
        <f t="shared" si="11"/>
        <v>0.9298091736188837</v>
      </c>
      <c r="J44" s="49">
        <f t="shared" si="11"/>
        <v>0.910438149140016</v>
      </c>
      <c r="K44" s="50">
        <f t="shared" si="11"/>
        <v>0.8891300222419478</v>
      </c>
    </row>
    <row r="45" spans="1:11" ht="13.5">
      <c r="A45">
        <v>4</v>
      </c>
      <c r="B45" s="48">
        <f t="shared" si="10"/>
        <v>0.9998999999999978</v>
      </c>
      <c r="C45" s="49">
        <f t="shared" si="11"/>
        <v>0.999539999999976</v>
      </c>
      <c r="D45" s="49">
        <f t="shared" si="11"/>
        <v>0.9987299999999039</v>
      </c>
      <c r="E45" s="49">
        <f t="shared" si="11"/>
        <v>0.997271999999745</v>
      </c>
      <c r="F45" s="49">
        <f t="shared" si="11"/>
        <v>0.9949756499994689</v>
      </c>
      <c r="G45" s="49">
        <f t="shared" si="11"/>
        <v>0.9916689059990899</v>
      </c>
      <c r="H45" s="49">
        <f t="shared" si="11"/>
        <v>0.9872048015988298</v>
      </c>
      <c r="I45" s="49">
        <f t="shared" si="11"/>
        <v>0.9814652387996339</v>
      </c>
      <c r="J45" s="49">
        <f t="shared" si="11"/>
        <v>0.9743625298395407</v>
      </c>
      <c r="K45" s="50">
        <f t="shared" si="11"/>
        <v>0.965839279072241</v>
      </c>
    </row>
    <row r="46" spans="1:11" ht="13.5">
      <c r="A46">
        <v>5</v>
      </c>
      <c r="B46" s="48">
        <f t="shared" si="10"/>
        <v>0.9999899999999997</v>
      </c>
      <c r="C46" s="49">
        <f t="shared" si="11"/>
        <v>0.9999449999999966</v>
      </c>
      <c r="D46" s="49">
        <f t="shared" si="11"/>
        <v>0.9998234999999847</v>
      </c>
      <c r="E46" s="49">
        <f t="shared" si="11"/>
        <v>0.9995683499999539</v>
      </c>
      <c r="F46" s="49">
        <f t="shared" si="11"/>
        <v>0.9991090799998921</v>
      </c>
      <c r="G46" s="49">
        <f t="shared" si="11"/>
        <v>0.9983650625997875</v>
      </c>
      <c r="H46" s="49">
        <f t="shared" si="11"/>
        <v>0.9972490364996435</v>
      </c>
      <c r="I46" s="49">
        <f t="shared" si="11"/>
        <v>0.9956706567295244</v>
      </c>
      <c r="J46" s="49">
        <f t="shared" si="11"/>
        <v>0.9935398440401888</v>
      </c>
      <c r="K46" s="50">
        <f t="shared" si="11"/>
        <v>0.9907697875450691</v>
      </c>
    </row>
    <row r="47" spans="1:11" ht="13.5">
      <c r="A47">
        <v>6</v>
      </c>
      <c r="B47" s="48">
        <f t="shared" si="10"/>
        <v>0.999999</v>
      </c>
      <c r="C47" s="49">
        <f t="shared" si="11"/>
        <v>0.9999935999999996</v>
      </c>
      <c r="D47" s="49">
        <f t="shared" si="11"/>
        <v>0.9999765899999977</v>
      </c>
      <c r="E47" s="49">
        <f t="shared" si="11"/>
        <v>0.9999357659999926</v>
      </c>
      <c r="F47" s="49">
        <f t="shared" si="11"/>
        <v>0.9998530973999805</v>
      </c>
      <c r="G47" s="49">
        <f t="shared" si="11"/>
        <v>0.9997042939199575</v>
      </c>
      <c r="H47" s="49">
        <f t="shared" si="11"/>
        <v>0.9994587681779191</v>
      </c>
      <c r="I47" s="49">
        <f t="shared" si="11"/>
        <v>0.9990799570330652</v>
      </c>
      <c r="J47" s="49">
        <f t="shared" si="11"/>
        <v>0.9985259457337425</v>
      </c>
      <c r="K47" s="50">
        <f t="shared" si="11"/>
        <v>0.9977503299147817</v>
      </c>
    </row>
    <row r="48" spans="1:11" ht="13.5">
      <c r="A48">
        <v>7</v>
      </c>
      <c r="B48" s="48">
        <f t="shared" si="10"/>
        <v>0.9999998999999999</v>
      </c>
      <c r="C48" s="49">
        <f t="shared" si="11"/>
        <v>0.99999927</v>
      </c>
      <c r="D48" s="49">
        <f t="shared" si="11"/>
        <v>0.9999970019999997</v>
      </c>
      <c r="E48" s="49">
        <f t="shared" si="11"/>
        <v>0.9999908783999989</v>
      </c>
      <c r="F48" s="49">
        <f t="shared" si="11"/>
        <v>0.9999771002999968</v>
      </c>
      <c r="G48" s="49">
        <f t="shared" si="11"/>
        <v>0.9999498196619923</v>
      </c>
      <c r="H48" s="49">
        <f t="shared" si="11"/>
        <v>0.9999007145135839</v>
      </c>
      <c r="I48" s="49">
        <f t="shared" si="11"/>
        <v>0.99981863876553</v>
      </c>
      <c r="J48" s="49">
        <f t="shared" si="11"/>
        <v>0.9996893694623469</v>
      </c>
      <c r="K48" s="50">
        <f t="shared" si="11"/>
        <v>0.9994954655075802</v>
      </c>
    </row>
    <row r="49" spans="1:11" ht="13.5">
      <c r="A49">
        <v>8</v>
      </c>
      <c r="B49" s="48">
        <f t="shared" si="10"/>
        <v>0.99999999</v>
      </c>
      <c r="C49" s="49">
        <f t="shared" si="11"/>
        <v>0.999999918</v>
      </c>
      <c r="D49" s="49">
        <f t="shared" si="11"/>
        <v>0.9999996264</v>
      </c>
      <c r="E49" s="49">
        <f t="shared" si="11"/>
        <v>0.9999987515999997</v>
      </c>
      <c r="F49" s="49">
        <f t="shared" si="11"/>
        <v>0.9999965864699994</v>
      </c>
      <c r="G49" s="49">
        <f t="shared" si="11"/>
        <v>0.9999919097891987</v>
      </c>
      <c r="H49" s="49">
        <f t="shared" si="11"/>
        <v>0.9999827902616371</v>
      </c>
      <c r="I49" s="49">
        <f t="shared" si="11"/>
        <v>0.999966375112026</v>
      </c>
      <c r="J49" s="49">
        <f t="shared" si="11"/>
        <v>0.9999386745470575</v>
      </c>
      <c r="K49" s="50">
        <f t="shared" si="11"/>
        <v>0.9998943536431085</v>
      </c>
    </row>
    <row r="50" spans="1:11" ht="13.5">
      <c r="A50">
        <v>9</v>
      </c>
      <c r="B50" s="48">
        <f t="shared" si="10"/>
        <v>0.999999999</v>
      </c>
      <c r="C50" s="49">
        <f t="shared" si="11"/>
        <v>0.9999999909</v>
      </c>
      <c r="D50" s="49">
        <f t="shared" si="11"/>
        <v>0.99999995445</v>
      </c>
      <c r="E50" s="49">
        <f t="shared" si="11"/>
        <v>0.9999998341649999</v>
      </c>
      <c r="F50" s="49">
        <f t="shared" si="11"/>
        <v>0.9999995093955</v>
      </c>
      <c r="G50" s="49">
        <f t="shared" si="11"/>
        <v>0.9999987494348698</v>
      </c>
      <c r="H50" s="49">
        <f t="shared" si="11"/>
        <v>0.9999971535175465</v>
      </c>
      <c r="I50" s="49">
        <f t="shared" si="11"/>
        <v>0.9999940756769944</v>
      </c>
      <c r="J50" s="49">
        <f t="shared" si="11"/>
        <v>0.9999885355640006</v>
      </c>
      <c r="K50" s="50">
        <f t="shared" si="11"/>
        <v>0.9999791173719113</v>
      </c>
    </row>
    <row r="51" spans="1:11" ht="13.5">
      <c r="A51">
        <v>10</v>
      </c>
      <c r="B51" s="51">
        <f t="shared" si="10"/>
        <v>0.9999999999</v>
      </c>
      <c r="C51" s="52">
        <f t="shared" si="11"/>
        <v>0.999999999</v>
      </c>
      <c r="D51" s="52">
        <f t="shared" si="11"/>
        <v>0.999999994545</v>
      </c>
      <c r="E51" s="52">
        <f t="shared" si="11"/>
        <v>0.999999978507</v>
      </c>
      <c r="F51" s="52">
        <f t="shared" si="11"/>
        <v>0.99999993159585</v>
      </c>
      <c r="G51" s="52">
        <f t="shared" si="11"/>
        <v>0.999999813379752</v>
      </c>
      <c r="H51" s="52">
        <f t="shared" si="11"/>
        <v>0.9999995473935314</v>
      </c>
      <c r="I51" s="52">
        <f t="shared" si="11"/>
        <v>0.9999990002218777</v>
      </c>
      <c r="J51" s="52">
        <f t="shared" si="11"/>
        <v>0.99999795375609</v>
      </c>
      <c r="K51" s="53">
        <f t="shared" si="11"/>
        <v>0.9999960701176721</v>
      </c>
    </row>
    <row r="52" ht="14.25" thickBot="1">
      <c r="K52" t="s">
        <v>181</v>
      </c>
    </row>
    <row r="53" spans="1:17" ht="14.25" thickBot="1">
      <c r="A53" s="6" t="s">
        <v>140</v>
      </c>
      <c r="B53" s="44">
        <v>0.75</v>
      </c>
      <c r="D53" t="s">
        <v>154</v>
      </c>
      <c r="H53" t="s">
        <v>180</v>
      </c>
      <c r="J53" s="75">
        <f>J69</f>
        <v>0.5</v>
      </c>
      <c r="K53" s="76">
        <f>J53+(0.5)*B53/(1-B53)</f>
        <v>2</v>
      </c>
      <c r="N53" s="6" t="s">
        <v>171</v>
      </c>
      <c r="Q53" t="s">
        <v>186</v>
      </c>
    </row>
    <row r="54" spans="1:26" ht="14.25" thickBot="1">
      <c r="A54" s="6" t="s">
        <v>138</v>
      </c>
      <c r="B54">
        <v>1</v>
      </c>
      <c r="C54">
        <v>2</v>
      </c>
      <c r="D54">
        <v>3</v>
      </c>
      <c r="E54">
        <v>4</v>
      </c>
      <c r="F54">
        <v>5</v>
      </c>
      <c r="G54">
        <v>6</v>
      </c>
      <c r="H54">
        <v>7</v>
      </c>
      <c r="I54">
        <v>8</v>
      </c>
      <c r="J54">
        <v>9</v>
      </c>
      <c r="K54">
        <v>10</v>
      </c>
      <c r="M54" t="s">
        <v>167</v>
      </c>
      <c r="N54" s="69">
        <f>ROW(dai_table)</f>
        <v>55</v>
      </c>
      <c r="P54" s="6" t="s">
        <v>138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</row>
    <row r="55" spans="1:26" ht="13.5">
      <c r="A55">
        <v>1</v>
      </c>
      <c r="B55" s="77">
        <v>0.6112034818011267</v>
      </c>
      <c r="C55" s="78">
        <v>0.670367647542397</v>
      </c>
      <c r="D55" s="78">
        <v>0.7129519813554981</v>
      </c>
      <c r="E55" s="78">
        <v>0.7452739102059575</v>
      </c>
      <c r="F55" s="78">
        <v>0.7707470106262182</v>
      </c>
      <c r="G55" s="78">
        <v>0.791395949875196</v>
      </c>
      <c r="H55" s="78">
        <v>0.8085056252205802</v>
      </c>
      <c r="I55" s="78">
        <v>0.8229345464890991</v>
      </c>
      <c r="J55" s="78">
        <v>0.8352801033767701</v>
      </c>
      <c r="K55" s="79">
        <v>0.8461538461538461</v>
      </c>
      <c r="M55" t="s">
        <v>168</v>
      </c>
      <c r="N55" s="70">
        <f>COLUMN(dai_table)</f>
        <v>2</v>
      </c>
      <c r="P55">
        <v>1</v>
      </c>
      <c r="Q55" s="88">
        <v>121</v>
      </c>
      <c r="R55" s="89">
        <v>119</v>
      </c>
      <c r="S55" s="89">
        <v>116</v>
      </c>
      <c r="T55" s="89">
        <v>114</v>
      </c>
      <c r="U55" s="89">
        <v>113</v>
      </c>
      <c r="V55" s="89">
        <v>113</v>
      </c>
      <c r="W55" s="89">
        <v>111</v>
      </c>
      <c r="X55" s="89">
        <v>110</v>
      </c>
      <c r="Y55" s="89">
        <v>107</v>
      </c>
      <c r="Z55" s="90">
        <v>2</v>
      </c>
    </row>
    <row r="56" spans="1:26" ht="13.5">
      <c r="A56">
        <v>2</v>
      </c>
      <c r="B56" s="80">
        <v>0.5278106251280257</v>
      </c>
      <c r="C56" s="81">
        <v>0.5895426181363375</v>
      </c>
      <c r="D56" s="81">
        <v>0.6362836481359656</v>
      </c>
      <c r="E56" s="81">
        <v>0.6730457088186103</v>
      </c>
      <c r="F56" s="81">
        <v>0.7027942141317188</v>
      </c>
      <c r="G56" s="81">
        <v>0.7274070145996472</v>
      </c>
      <c r="H56" s="81">
        <v>0.7481363989945227</v>
      </c>
      <c r="I56" s="81">
        <v>0.7658522703536971</v>
      </c>
      <c r="J56" s="81">
        <v>0.7811792237408088</v>
      </c>
      <c r="K56" s="82">
        <v>0.794578167295414</v>
      </c>
      <c r="M56" t="s">
        <v>170</v>
      </c>
      <c r="N56" s="70">
        <f>ROWS(dai_table)</f>
        <v>10</v>
      </c>
      <c r="P56">
        <v>2</v>
      </c>
      <c r="Q56" s="91">
        <v>122</v>
      </c>
      <c r="R56" s="92">
        <v>116</v>
      </c>
      <c r="S56" s="92">
        <v>126</v>
      </c>
      <c r="T56" s="92">
        <v>117</v>
      </c>
      <c r="U56" s="92">
        <v>119</v>
      </c>
      <c r="V56" s="92">
        <v>115</v>
      </c>
      <c r="W56" s="92">
        <v>121</v>
      </c>
      <c r="X56" s="92">
        <v>114</v>
      </c>
      <c r="Y56" s="92">
        <v>116</v>
      </c>
      <c r="Z56" s="93">
        <v>113</v>
      </c>
    </row>
    <row r="57" spans="1:26" ht="14.25" thickBot="1">
      <c r="A57">
        <v>3</v>
      </c>
      <c r="B57" s="80">
        <v>0.46613325491717733</v>
      </c>
      <c r="C57" s="81">
        <v>0.5272933860659741</v>
      </c>
      <c r="D57" s="81">
        <v>0.5753444070110018</v>
      </c>
      <c r="E57" s="81">
        <v>0.6141924783882413</v>
      </c>
      <c r="F57" s="81">
        <v>0.6463084039787146</v>
      </c>
      <c r="G57" s="81">
        <v>0.6733382514999456</v>
      </c>
      <c r="H57" s="81">
        <v>0.6964244373306251</v>
      </c>
      <c r="I57" s="81">
        <v>0.7163865574878234</v>
      </c>
      <c r="J57" s="81">
        <v>0.7338289712657926</v>
      </c>
      <c r="K57" s="82">
        <v>0.7492077479147973</v>
      </c>
      <c r="M57" t="s">
        <v>169</v>
      </c>
      <c r="N57" s="71">
        <f>COLUMNS(dai_table)</f>
        <v>10</v>
      </c>
      <c r="P57">
        <v>3</v>
      </c>
      <c r="Q57" s="91">
        <v>119</v>
      </c>
      <c r="R57" s="92">
        <v>119</v>
      </c>
      <c r="S57" s="92">
        <v>121</v>
      </c>
      <c r="T57" s="92">
        <v>116</v>
      </c>
      <c r="U57" s="92">
        <v>126</v>
      </c>
      <c r="V57" s="92">
        <v>122</v>
      </c>
      <c r="W57" s="92">
        <v>116</v>
      </c>
      <c r="X57" s="92">
        <v>115</v>
      </c>
      <c r="Y57" s="92">
        <v>122</v>
      </c>
      <c r="Z57" s="93">
        <v>115</v>
      </c>
    </row>
    <row r="58" spans="1:26" ht="13.5">
      <c r="A58">
        <v>4</v>
      </c>
      <c r="B58" s="80">
        <v>0.4183031239959823</v>
      </c>
      <c r="C58" s="81">
        <v>0.4776431052033941</v>
      </c>
      <c r="D58" s="81">
        <v>0.5255907426447639</v>
      </c>
      <c r="E58" s="81">
        <v>0.5652097933577822</v>
      </c>
      <c r="F58" s="81">
        <v>0.5985401040053683</v>
      </c>
      <c r="G58" s="81">
        <v>0.6269966043075526</v>
      </c>
      <c r="H58" s="81">
        <v>0.651593891234838</v>
      </c>
      <c r="I58" s="81">
        <v>0.67307977523617</v>
      </c>
      <c r="J58" s="81">
        <v>0.6920183436848252</v>
      </c>
      <c r="K58" s="82">
        <v>0.7088436017872944</v>
      </c>
      <c r="P58">
        <v>4</v>
      </c>
      <c r="Q58" s="91">
        <v>119</v>
      </c>
      <c r="R58" s="92">
        <v>120</v>
      </c>
      <c r="S58" s="92">
        <v>120</v>
      </c>
      <c r="T58" s="92">
        <v>117</v>
      </c>
      <c r="U58" s="92">
        <v>117</v>
      </c>
      <c r="V58" s="92">
        <v>126</v>
      </c>
      <c r="W58" s="92">
        <v>118</v>
      </c>
      <c r="X58" s="92">
        <v>118</v>
      </c>
      <c r="Y58" s="92">
        <v>116</v>
      </c>
      <c r="Z58" s="93">
        <v>114</v>
      </c>
    </row>
    <row r="59" spans="1:26" ht="13.5">
      <c r="A59">
        <v>5</v>
      </c>
      <c r="B59" s="80">
        <v>0.3799418033957859</v>
      </c>
      <c r="C59" s="81">
        <v>0.43698900690128645</v>
      </c>
      <c r="D59" s="81">
        <v>0.484111182736849</v>
      </c>
      <c r="E59" s="81">
        <v>0.523741956510791</v>
      </c>
      <c r="F59" s="81">
        <v>0.5575687712844801</v>
      </c>
      <c r="G59" s="81">
        <v>0.5868012249818529</v>
      </c>
      <c r="H59" s="81">
        <v>0.6123305792065481</v>
      </c>
      <c r="I59" s="81">
        <v>0.6348289394548535</v>
      </c>
      <c r="J59" s="81">
        <v>0.6548132850362203</v>
      </c>
      <c r="K59" s="82">
        <v>0.6726881455101831</v>
      </c>
      <c r="P59">
        <v>5</v>
      </c>
      <c r="Q59" s="91">
        <v>122</v>
      </c>
      <c r="R59" s="92">
        <v>119</v>
      </c>
      <c r="S59" s="92">
        <v>120</v>
      </c>
      <c r="T59" s="92">
        <v>119</v>
      </c>
      <c r="U59" s="92">
        <v>118</v>
      </c>
      <c r="V59" s="92">
        <v>119</v>
      </c>
      <c r="W59" s="92">
        <v>117</v>
      </c>
      <c r="X59" s="92">
        <v>126</v>
      </c>
      <c r="Y59" s="92">
        <v>117</v>
      </c>
      <c r="Z59" s="93">
        <v>117</v>
      </c>
    </row>
    <row r="60" spans="1:26" ht="13.5">
      <c r="A60">
        <v>6</v>
      </c>
      <c r="B60" s="80">
        <v>0.34838727115780943</v>
      </c>
      <c r="C60" s="81">
        <v>0.40301257211591623</v>
      </c>
      <c r="D60" s="81">
        <v>0.4489438090162144</v>
      </c>
      <c r="E60" s="81">
        <v>0.4881409382614075</v>
      </c>
      <c r="F60" s="81">
        <v>0.5220085587288666</v>
      </c>
      <c r="G60" s="81">
        <v>0.5515813831769265</v>
      </c>
      <c r="H60" s="81">
        <v>0.5776395352248817</v>
      </c>
      <c r="I60" s="81">
        <v>0.6007829682851471</v>
      </c>
      <c r="J60" s="81">
        <v>0.6214810565087512</v>
      </c>
      <c r="K60" s="82">
        <v>0.6401065600131406</v>
      </c>
      <c r="P60">
        <v>6</v>
      </c>
      <c r="Q60" s="91">
        <v>119</v>
      </c>
      <c r="R60" s="92">
        <v>119</v>
      </c>
      <c r="S60" s="92">
        <v>119</v>
      </c>
      <c r="T60" s="92">
        <v>118</v>
      </c>
      <c r="U60" s="92">
        <v>122</v>
      </c>
      <c r="V60" s="92">
        <v>125</v>
      </c>
      <c r="W60" s="92">
        <v>122</v>
      </c>
      <c r="X60" s="92">
        <v>117</v>
      </c>
      <c r="Y60" s="92">
        <v>116</v>
      </c>
      <c r="Z60" s="93">
        <v>126</v>
      </c>
    </row>
    <row r="61" spans="1:26" ht="13.5">
      <c r="A61">
        <v>7</v>
      </c>
      <c r="B61" s="80">
        <v>0.32191396149498314</v>
      </c>
      <c r="C61" s="81">
        <v>0.3741456615216372</v>
      </c>
      <c r="D61" s="81">
        <v>0.41871310523833477</v>
      </c>
      <c r="E61" s="81">
        <v>0.4572158924758812</v>
      </c>
      <c r="F61" s="81">
        <v>0.4908321871473049</v>
      </c>
      <c r="G61" s="81">
        <v>0.5204501309949094</v>
      </c>
      <c r="H61" s="81">
        <v>0.5467526515340729</v>
      </c>
      <c r="I61" s="81">
        <v>0.5702739675073195</v>
      </c>
      <c r="J61" s="81">
        <v>0.5914382844818197</v>
      </c>
      <c r="K61" s="82">
        <v>0.6105869340300103</v>
      </c>
      <c r="P61">
        <v>7</v>
      </c>
      <c r="Q61" s="91">
        <v>121</v>
      </c>
      <c r="R61" s="92">
        <v>120</v>
      </c>
      <c r="S61" s="92">
        <v>123</v>
      </c>
      <c r="T61" s="92">
        <v>120</v>
      </c>
      <c r="U61" s="92">
        <v>121</v>
      </c>
      <c r="V61" s="92">
        <v>117</v>
      </c>
      <c r="W61" s="92">
        <v>119</v>
      </c>
      <c r="X61" s="92">
        <v>125</v>
      </c>
      <c r="Y61" s="92">
        <v>121</v>
      </c>
      <c r="Z61" s="93">
        <v>116</v>
      </c>
    </row>
    <row r="62" spans="1:26" ht="13.5">
      <c r="A62">
        <v>8</v>
      </c>
      <c r="B62" s="80">
        <v>0.2993475140270599</v>
      </c>
      <c r="C62" s="81">
        <v>0.34928527221526234</v>
      </c>
      <c r="D62" s="81">
        <v>0.3924232262228956</v>
      </c>
      <c r="E62" s="81">
        <v>0.430082991117683</v>
      </c>
      <c r="F62" s="81">
        <v>0.4632607267649371</v>
      </c>
      <c r="G62" s="81">
        <v>0.49272233478299954</v>
      </c>
      <c r="H62" s="81">
        <v>0.5190668785058877</v>
      </c>
      <c r="I62" s="81">
        <v>0.5427700089504989</v>
      </c>
      <c r="J62" s="81">
        <v>0.5642144185067679</v>
      </c>
      <c r="K62" s="82">
        <v>0.5837116498136521</v>
      </c>
      <c r="P62">
        <v>8</v>
      </c>
      <c r="Q62" s="91">
        <v>122</v>
      </c>
      <c r="R62" s="92">
        <v>119</v>
      </c>
      <c r="S62" s="92">
        <v>125</v>
      </c>
      <c r="T62" s="92">
        <v>121</v>
      </c>
      <c r="U62" s="92">
        <v>119</v>
      </c>
      <c r="V62" s="92">
        <v>128</v>
      </c>
      <c r="W62" s="92">
        <v>121</v>
      </c>
      <c r="X62" s="92">
        <v>119</v>
      </c>
      <c r="Y62" s="92">
        <v>119</v>
      </c>
      <c r="Z62" s="93">
        <v>117</v>
      </c>
    </row>
    <row r="63" spans="1:26" ht="13.5">
      <c r="A63">
        <v>9</v>
      </c>
      <c r="B63" s="80">
        <v>0.27985743919218964</v>
      </c>
      <c r="C63" s="81">
        <v>0.3276305599699103</v>
      </c>
      <c r="D63" s="81">
        <v>0.3693337950880612</v>
      </c>
      <c r="E63" s="81">
        <v>0.406071322534965</v>
      </c>
      <c r="F63" s="81">
        <v>0.43869201803192587</v>
      </c>
      <c r="G63" s="81">
        <v>0.46785978950445606</v>
      </c>
      <c r="H63" s="81">
        <v>0.49410173341917846</v>
      </c>
      <c r="I63" s="81">
        <v>0.5178419029835255</v>
      </c>
      <c r="J63" s="81">
        <v>0.5394254887651184</v>
      </c>
      <c r="K63" s="82">
        <v>0.5591364583035217</v>
      </c>
      <c r="P63">
        <v>9</v>
      </c>
      <c r="Q63" s="91">
        <v>125</v>
      </c>
      <c r="R63" s="92">
        <v>120</v>
      </c>
      <c r="S63" s="92">
        <v>120</v>
      </c>
      <c r="T63" s="92">
        <v>121</v>
      </c>
      <c r="U63" s="92">
        <v>122</v>
      </c>
      <c r="V63" s="92">
        <v>120</v>
      </c>
      <c r="W63" s="92">
        <v>118</v>
      </c>
      <c r="X63" s="92">
        <v>125</v>
      </c>
      <c r="Y63" s="92">
        <v>117</v>
      </c>
      <c r="Z63" s="93">
        <v>122</v>
      </c>
    </row>
    <row r="64" spans="1:26" ht="14.25" thickBot="1">
      <c r="A64">
        <v>10</v>
      </c>
      <c r="B64" s="83">
        <v>0.26283789371692456</v>
      </c>
      <c r="C64" s="84">
        <v>0.30858459905843927</v>
      </c>
      <c r="D64" s="84">
        <v>0.3488819183049932</v>
      </c>
      <c r="E64" s="84">
        <v>0.3846617012808518</v>
      </c>
      <c r="F64" s="84">
        <v>0.4166527005030245</v>
      </c>
      <c r="G64" s="84">
        <v>0.445433457887858</v>
      </c>
      <c r="H64" s="84">
        <v>0.4714693874602835</v>
      </c>
      <c r="I64" s="84">
        <v>0.4951393277165849</v>
      </c>
      <c r="J64" s="84">
        <v>0.5167549102388105</v>
      </c>
      <c r="K64" s="85">
        <v>0.536574924061311</v>
      </c>
      <c r="P64">
        <v>10</v>
      </c>
      <c r="Q64" s="94">
        <v>127</v>
      </c>
      <c r="R64" s="95">
        <v>120</v>
      </c>
      <c r="S64" s="95">
        <v>120</v>
      </c>
      <c r="T64" s="95">
        <v>122</v>
      </c>
      <c r="U64" s="95">
        <v>118</v>
      </c>
      <c r="V64" s="95">
        <v>121</v>
      </c>
      <c r="W64" s="95">
        <v>118</v>
      </c>
      <c r="X64" s="95">
        <v>121</v>
      </c>
      <c r="Y64" s="95">
        <v>117</v>
      </c>
      <c r="Z64" s="96">
        <v>119</v>
      </c>
    </row>
    <row r="65" spans="2:11" ht="13.5"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4" ht="14.25" thickBot="1">
      <c r="A66" s="15" t="s">
        <v>152</v>
      </c>
      <c r="G66" t="s">
        <v>148</v>
      </c>
      <c r="H66" t="s">
        <v>149</v>
      </c>
      <c r="I66" t="s">
        <v>150</v>
      </c>
      <c r="J66" t="s">
        <v>153</v>
      </c>
      <c r="L66" s="15" t="s">
        <v>151</v>
      </c>
      <c r="M66" t="s">
        <v>187</v>
      </c>
      <c r="N66" t="s">
        <v>185</v>
      </c>
    </row>
    <row r="67" spans="1:14" ht="14.25" thickBot="1">
      <c r="A67" t="s">
        <v>143</v>
      </c>
      <c r="B67" t="s">
        <v>144</v>
      </c>
      <c r="D67" t="s">
        <v>159</v>
      </c>
      <c r="F67" t="s">
        <v>182</v>
      </c>
      <c r="G67" s="72">
        <v>1</v>
      </c>
      <c r="H67" s="73">
        <v>1</v>
      </c>
      <c r="I67" s="54">
        <v>0.845</v>
      </c>
      <c r="J67" s="74">
        <f>B53</f>
        <v>0.75</v>
      </c>
      <c r="L67" s="86">
        <f>MAX(M69:M226)</f>
        <v>0.6112034818011267</v>
      </c>
      <c r="M67">
        <v>226</v>
      </c>
      <c r="N67" s="87">
        <f>MATCH(1,N69:N226,0)</f>
        <v>121</v>
      </c>
    </row>
    <row r="68" spans="1:14" ht="13.5">
      <c r="A68" t="s">
        <v>162</v>
      </c>
      <c r="B68" t="s">
        <v>142</v>
      </c>
      <c r="C68" t="s">
        <v>163</v>
      </c>
      <c r="D68" t="s">
        <v>183</v>
      </c>
      <c r="E68" t="s">
        <v>164</v>
      </c>
      <c r="F68" t="s">
        <v>184</v>
      </c>
      <c r="G68" t="s">
        <v>174</v>
      </c>
      <c r="H68" t="s">
        <v>175</v>
      </c>
      <c r="I68" t="s">
        <v>176</v>
      </c>
      <c r="J68" t="s">
        <v>177</v>
      </c>
      <c r="K68" t="s">
        <v>173</v>
      </c>
      <c r="L68" s="67" t="s">
        <v>172</v>
      </c>
      <c r="M68" t="s">
        <v>160</v>
      </c>
      <c r="N68" t="s">
        <v>161</v>
      </c>
    </row>
    <row r="69" spans="1:14" ht="13.5">
      <c r="A69">
        <v>0</v>
      </c>
      <c r="B69">
        <v>1</v>
      </c>
      <c r="C69">
        <v>1</v>
      </c>
      <c r="D69">
        <v>1</v>
      </c>
      <c r="E69">
        <f aca="true" t="shared" si="12" ref="E69:E100">K69*B69</f>
        <v>0.5</v>
      </c>
      <c r="F69">
        <v>0</v>
      </c>
      <c r="G69">
        <f>$G$67+I69</f>
        <v>1</v>
      </c>
      <c r="H69">
        <f aca="true" t="shared" si="13" ref="H69:H100">($H$67+A69-I69)</f>
        <v>1</v>
      </c>
      <c r="I69">
        <f aca="true" t="shared" si="14" ref="I69:I100">A69*$I$67</f>
        <v>0</v>
      </c>
      <c r="J69">
        <f aca="true" t="shared" si="15" ref="J69:J100">($G$67+I69)/(($G$67+I69)+($H$67+A69-I69))</f>
        <v>0.5</v>
      </c>
      <c r="K69">
        <f>(G69+1)/(G69+H69+2)</f>
        <v>0.5</v>
      </c>
      <c r="L69" s="66">
        <f>MAX(M$69:M69)</f>
        <v>0</v>
      </c>
      <c r="M69">
        <f aca="true" t="shared" si="16" ref="M69:M100">F69/D69</f>
        <v>0</v>
      </c>
      <c r="N69">
        <f>IF(M69=MAX($L$69:$L$226),1,0)</f>
        <v>0</v>
      </c>
    </row>
    <row r="70" spans="1:14" ht="13.5">
      <c r="A70">
        <v>1</v>
      </c>
      <c r="B70">
        <f aca="true" t="shared" si="17" ref="B70:B133">$B$53^A70</f>
        <v>0.75</v>
      </c>
      <c r="C70">
        <f>SUM(B$69:B69)</f>
        <v>1</v>
      </c>
      <c r="D70">
        <f>C70</f>
        <v>1</v>
      </c>
      <c r="E70">
        <f t="shared" si="12"/>
        <v>0.42674999999999996</v>
      </c>
      <c r="F70">
        <f>SUM(E$69:E69)</f>
        <v>0.5</v>
      </c>
      <c r="G70">
        <f aca="true" t="shared" si="18" ref="G70:G133">$G$67+I70</f>
        <v>1.845</v>
      </c>
      <c r="H70">
        <f t="shared" si="13"/>
        <v>1.155</v>
      </c>
      <c r="I70">
        <f t="shared" si="14"/>
        <v>0.845</v>
      </c>
      <c r="J70">
        <f t="shared" si="15"/>
        <v>0.615</v>
      </c>
      <c r="K70">
        <f aca="true" t="shared" si="19" ref="K70:K133">(G70+1)/(G70+H70+2)</f>
        <v>0.569</v>
      </c>
      <c r="L70" s="66">
        <f>MAX(M$69:M70)</f>
        <v>0.5</v>
      </c>
      <c r="M70">
        <f t="shared" si="16"/>
        <v>0.5</v>
      </c>
      <c r="N70">
        <f aca="true" t="shared" si="20" ref="N70:N133">IF(M70=MAX($L$69:$L$226),1,0)</f>
        <v>0</v>
      </c>
    </row>
    <row r="71" spans="1:14" ht="13.5">
      <c r="A71">
        <v>2</v>
      </c>
      <c r="B71">
        <f t="shared" si="17"/>
        <v>0.5625</v>
      </c>
      <c r="C71">
        <f>SUM(B$69:B70)</f>
        <v>1.75</v>
      </c>
      <c r="D71">
        <f aca="true" t="shared" si="21" ref="D71:D134">C71</f>
        <v>1.75</v>
      </c>
      <c r="E71">
        <f t="shared" si="12"/>
        <v>0.3459375</v>
      </c>
      <c r="F71">
        <f>SUM(E$69:E70)</f>
        <v>0.92675</v>
      </c>
      <c r="G71">
        <f t="shared" si="18"/>
        <v>2.69</v>
      </c>
      <c r="H71">
        <f t="shared" si="13"/>
        <v>1.31</v>
      </c>
      <c r="I71">
        <f t="shared" si="14"/>
        <v>1.69</v>
      </c>
      <c r="J71">
        <f t="shared" si="15"/>
        <v>0.6725</v>
      </c>
      <c r="K71">
        <f t="shared" si="19"/>
        <v>0.615</v>
      </c>
      <c r="L71" s="66">
        <f>MAX(M$69:M71)</f>
        <v>0.5295714285714286</v>
      </c>
      <c r="M71">
        <f t="shared" si="16"/>
        <v>0.5295714285714286</v>
      </c>
      <c r="N71">
        <f t="shared" si="20"/>
        <v>0</v>
      </c>
    </row>
    <row r="72" spans="1:14" ht="13.5">
      <c r="A72">
        <v>3</v>
      </c>
      <c r="B72">
        <f t="shared" si="17"/>
        <v>0.421875</v>
      </c>
      <c r="C72">
        <f>SUM(B$69:B71)</f>
        <v>2.3125</v>
      </c>
      <c r="D72">
        <f t="shared" si="21"/>
        <v>2.3125</v>
      </c>
      <c r="E72">
        <f t="shared" si="12"/>
        <v>0.2733147321428572</v>
      </c>
      <c r="F72">
        <f>SUM(E$69:E71)</f>
        <v>1.2726875</v>
      </c>
      <c r="G72">
        <f t="shared" si="18"/>
        <v>3.535</v>
      </c>
      <c r="H72">
        <f t="shared" si="13"/>
        <v>1.4649999999999999</v>
      </c>
      <c r="I72">
        <f t="shared" si="14"/>
        <v>2.535</v>
      </c>
      <c r="J72">
        <f t="shared" si="15"/>
        <v>0.7070000000000001</v>
      </c>
      <c r="K72">
        <f t="shared" si="19"/>
        <v>0.6478571428571429</v>
      </c>
      <c r="L72" s="66">
        <f>MAX(M$69:M72)</f>
        <v>0.5503513513513514</v>
      </c>
      <c r="M72">
        <f t="shared" si="16"/>
        <v>0.5503513513513514</v>
      </c>
      <c r="N72">
        <f t="shared" si="20"/>
        <v>0</v>
      </c>
    </row>
    <row r="73" spans="1:14" ht="13.5">
      <c r="A73">
        <v>4</v>
      </c>
      <c r="B73">
        <f t="shared" si="17"/>
        <v>0.31640625</v>
      </c>
      <c r="C73">
        <f>SUM(B$69:B72)</f>
        <v>2.734375</v>
      </c>
      <c r="D73">
        <f t="shared" si="21"/>
        <v>2.734375</v>
      </c>
      <c r="E73">
        <f t="shared" si="12"/>
        <v>0.212783203125</v>
      </c>
      <c r="F73">
        <f>SUM(E$69:E72)</f>
        <v>1.546002232142857</v>
      </c>
      <c r="G73">
        <f t="shared" si="18"/>
        <v>4.38</v>
      </c>
      <c r="H73">
        <f t="shared" si="13"/>
        <v>1.62</v>
      </c>
      <c r="I73">
        <f t="shared" si="14"/>
        <v>3.38</v>
      </c>
      <c r="J73">
        <f t="shared" si="15"/>
        <v>0.73</v>
      </c>
      <c r="K73">
        <f t="shared" si="19"/>
        <v>0.6725</v>
      </c>
      <c r="L73" s="66">
        <f>MAX(M$69:M73)</f>
        <v>0.5653951020408163</v>
      </c>
      <c r="M73">
        <f t="shared" si="16"/>
        <v>0.5653951020408163</v>
      </c>
      <c r="N73">
        <f t="shared" si="20"/>
        <v>0</v>
      </c>
    </row>
    <row r="74" spans="1:14" ht="13.5">
      <c r="A74">
        <v>5</v>
      </c>
      <c r="B74">
        <f t="shared" si="17"/>
        <v>0.2373046875</v>
      </c>
      <c r="C74">
        <f>SUM(B$69:B73)</f>
        <v>3.05078125</v>
      </c>
      <c r="D74">
        <f t="shared" si="21"/>
        <v>3.05078125</v>
      </c>
      <c r="E74">
        <f t="shared" si="12"/>
        <v>0.1641357421875</v>
      </c>
      <c r="F74">
        <f>SUM(E$69:E73)</f>
        <v>1.758785435267857</v>
      </c>
      <c r="G74">
        <f t="shared" si="18"/>
        <v>5.225</v>
      </c>
      <c r="H74">
        <f t="shared" si="13"/>
        <v>1.7750000000000004</v>
      </c>
      <c r="I74">
        <f t="shared" si="14"/>
        <v>4.225</v>
      </c>
      <c r="J74">
        <f t="shared" si="15"/>
        <v>0.7464285714285713</v>
      </c>
      <c r="K74">
        <f t="shared" si="19"/>
        <v>0.6916666666666667</v>
      </c>
      <c r="L74" s="66">
        <f>MAX(M$69:M74)</f>
        <v>0.5765032924821657</v>
      </c>
      <c r="M74">
        <f t="shared" si="16"/>
        <v>0.5765032924821657</v>
      </c>
      <c r="N74">
        <f t="shared" si="20"/>
        <v>0</v>
      </c>
    </row>
    <row r="75" spans="1:14" ht="13.5">
      <c r="A75">
        <v>6</v>
      </c>
      <c r="B75">
        <f t="shared" si="17"/>
        <v>0.177978515625</v>
      </c>
      <c r="C75">
        <f>SUM(B$69:B74)</f>
        <v>3.2880859375</v>
      </c>
      <c r="D75">
        <f t="shared" si="21"/>
        <v>3.2880859375</v>
      </c>
      <c r="E75">
        <f t="shared" si="12"/>
        <v>0.125830810546875</v>
      </c>
      <c r="F75">
        <f>SUM(E$69:E74)</f>
        <v>1.922921177455357</v>
      </c>
      <c r="G75">
        <f t="shared" si="18"/>
        <v>6.07</v>
      </c>
      <c r="H75">
        <f t="shared" si="13"/>
        <v>1.9299999999999997</v>
      </c>
      <c r="I75">
        <f t="shared" si="14"/>
        <v>5.07</v>
      </c>
      <c r="J75">
        <f t="shared" si="15"/>
        <v>0.75875</v>
      </c>
      <c r="K75">
        <f t="shared" si="19"/>
        <v>0.7070000000000001</v>
      </c>
      <c r="L75" s="66">
        <f>MAX(M$69:M75)</f>
        <v>0.5848147566718995</v>
      </c>
      <c r="M75">
        <f t="shared" si="16"/>
        <v>0.5848147566718995</v>
      </c>
      <c r="N75">
        <f t="shared" si="20"/>
        <v>0</v>
      </c>
    </row>
    <row r="76" spans="1:14" ht="13.5">
      <c r="A76">
        <v>7</v>
      </c>
      <c r="B76">
        <f t="shared" si="17"/>
        <v>0.13348388671875</v>
      </c>
      <c r="C76">
        <f>SUM(B$69:B75)</f>
        <v>3.466064453125</v>
      </c>
      <c r="D76">
        <f t="shared" si="21"/>
        <v>3.466064453125</v>
      </c>
      <c r="E76">
        <f t="shared" si="12"/>
        <v>0.09604772394353694</v>
      </c>
      <c r="F76">
        <f>SUM(E$69:E75)</f>
        <v>2.048751988002232</v>
      </c>
      <c r="G76">
        <f t="shared" si="18"/>
        <v>6.915</v>
      </c>
      <c r="H76">
        <f t="shared" si="13"/>
        <v>2.085</v>
      </c>
      <c r="I76">
        <f t="shared" si="14"/>
        <v>5.915</v>
      </c>
      <c r="J76">
        <f t="shared" si="15"/>
        <v>0.7683333333333333</v>
      </c>
      <c r="K76">
        <f t="shared" si="19"/>
        <v>0.7195454545454546</v>
      </c>
      <c r="L76" s="66">
        <f>MAX(M$69:M76)</f>
        <v>0.5910888316445123</v>
      </c>
      <c r="M76">
        <f t="shared" si="16"/>
        <v>0.5910888316445123</v>
      </c>
      <c r="N76">
        <f t="shared" si="20"/>
        <v>0</v>
      </c>
    </row>
    <row r="77" spans="1:14" ht="13.5">
      <c r="A77">
        <v>8</v>
      </c>
      <c r="B77">
        <f t="shared" si="17"/>
        <v>0.1001129150390625</v>
      </c>
      <c r="C77">
        <f>SUM(B$69:B76)</f>
        <v>3.59954833984375</v>
      </c>
      <c r="D77">
        <f t="shared" si="21"/>
        <v>3.59954833984375</v>
      </c>
      <c r="E77">
        <f t="shared" si="12"/>
        <v>0.07308242797851562</v>
      </c>
      <c r="F77">
        <f>SUM(E$69:E76)</f>
        <v>2.144799711945769</v>
      </c>
      <c r="G77">
        <f t="shared" si="18"/>
        <v>7.76</v>
      </c>
      <c r="H77">
        <f t="shared" si="13"/>
        <v>2.24</v>
      </c>
      <c r="I77">
        <f t="shared" si="14"/>
        <v>6.76</v>
      </c>
      <c r="J77">
        <f t="shared" si="15"/>
        <v>0.776</v>
      </c>
      <c r="K77">
        <f t="shared" si="19"/>
        <v>0.73</v>
      </c>
      <c r="L77" s="66">
        <f>MAX(M$69:M77)</f>
        <v>0.5958524540995248</v>
      </c>
      <c r="M77">
        <f t="shared" si="16"/>
        <v>0.5958524540995248</v>
      </c>
      <c r="N77">
        <f t="shared" si="20"/>
        <v>0</v>
      </c>
    </row>
    <row r="78" spans="1:14" ht="13.5">
      <c r="A78">
        <v>9</v>
      </c>
      <c r="B78">
        <f t="shared" si="17"/>
        <v>0.07508468627929688</v>
      </c>
      <c r="C78">
        <f>SUM(B$69:B77)</f>
        <v>3.6996612548828125</v>
      </c>
      <c r="D78">
        <f t="shared" si="21"/>
        <v>3.6996612548828125</v>
      </c>
      <c r="E78">
        <f t="shared" si="12"/>
        <v>0.05547603167020358</v>
      </c>
      <c r="F78">
        <f>SUM(E$69:E77)</f>
        <v>2.2178821399242845</v>
      </c>
      <c r="G78">
        <f t="shared" si="18"/>
        <v>8.605</v>
      </c>
      <c r="H78">
        <f t="shared" si="13"/>
        <v>2.3950000000000005</v>
      </c>
      <c r="I78">
        <f t="shared" si="14"/>
        <v>7.6049999999999995</v>
      </c>
      <c r="J78">
        <f t="shared" si="15"/>
        <v>0.7822727272727273</v>
      </c>
      <c r="K78">
        <f t="shared" si="19"/>
        <v>0.7388461538461539</v>
      </c>
      <c r="L78" s="66">
        <f>MAX(M$69:M78)</f>
        <v>0.5994824896460788</v>
      </c>
      <c r="M78">
        <f t="shared" si="16"/>
        <v>0.5994824896460788</v>
      </c>
      <c r="N78">
        <f t="shared" si="20"/>
        <v>0</v>
      </c>
    </row>
    <row r="79" spans="1:14" ht="13.5">
      <c r="A79">
        <v>10</v>
      </c>
      <c r="B79">
        <f t="shared" si="17"/>
        <v>0.056313514709472656</v>
      </c>
      <c r="C79">
        <f>SUM(B$69:B78)</f>
        <v>3.7747459411621094</v>
      </c>
      <c r="D79">
        <f t="shared" si="21"/>
        <v>3.7747459411621094</v>
      </c>
      <c r="E79">
        <f t="shared" si="12"/>
        <v>0.04203401633671351</v>
      </c>
      <c r="F79">
        <f>SUM(E$69:E78)</f>
        <v>2.273358171594488</v>
      </c>
      <c r="G79">
        <f t="shared" si="18"/>
        <v>9.45</v>
      </c>
      <c r="H79">
        <f t="shared" si="13"/>
        <v>2.5500000000000007</v>
      </c>
      <c r="I79">
        <f t="shared" si="14"/>
        <v>8.45</v>
      </c>
      <c r="J79">
        <f t="shared" si="15"/>
        <v>0.7875</v>
      </c>
      <c r="K79">
        <f t="shared" si="19"/>
        <v>0.7464285714285713</v>
      </c>
      <c r="L79" s="66">
        <f>MAX(M$69:M79)</f>
        <v>0.6022546171397702</v>
      </c>
      <c r="M79">
        <f t="shared" si="16"/>
        <v>0.6022546171397702</v>
      </c>
      <c r="N79">
        <f t="shared" si="20"/>
        <v>0</v>
      </c>
    </row>
    <row r="80" spans="1:14" ht="13.5">
      <c r="A80">
        <v>11</v>
      </c>
      <c r="B80">
        <f t="shared" si="17"/>
        <v>0.04223513603210449</v>
      </c>
      <c r="C80">
        <f>SUM(B$69:B79)</f>
        <v>3.831059455871582</v>
      </c>
      <c r="D80">
        <f t="shared" si="21"/>
        <v>3.831059455871582</v>
      </c>
      <c r="E80">
        <f t="shared" si="12"/>
        <v>0.03180305743217468</v>
      </c>
      <c r="F80">
        <f>SUM(E$69:E79)</f>
        <v>2.3153921879312014</v>
      </c>
      <c r="G80">
        <f t="shared" si="18"/>
        <v>10.295</v>
      </c>
      <c r="H80">
        <f t="shared" si="13"/>
        <v>2.705</v>
      </c>
      <c r="I80">
        <f t="shared" si="14"/>
        <v>9.295</v>
      </c>
      <c r="J80">
        <f t="shared" si="15"/>
        <v>0.791923076923077</v>
      </c>
      <c r="K80">
        <f t="shared" si="19"/>
        <v>0.753</v>
      </c>
      <c r="L80" s="66">
        <f>MAX(M$69:M80)</f>
        <v>0.6043738591377303</v>
      </c>
      <c r="M80">
        <f t="shared" si="16"/>
        <v>0.6043738591377303</v>
      </c>
      <c r="N80">
        <f t="shared" si="20"/>
        <v>0</v>
      </c>
    </row>
    <row r="81" spans="1:14" ht="13.5">
      <c r="A81">
        <v>12</v>
      </c>
      <c r="B81">
        <f t="shared" si="17"/>
        <v>0.03167635202407837</v>
      </c>
      <c r="C81">
        <f>SUM(B$69:B80)</f>
        <v>3.8732945919036865</v>
      </c>
      <c r="D81">
        <f t="shared" si="21"/>
        <v>3.8732945919036865</v>
      </c>
      <c r="E81">
        <f t="shared" si="12"/>
        <v>0.024034432098269463</v>
      </c>
      <c r="F81">
        <f>SUM(E$69:E80)</f>
        <v>2.347195245363376</v>
      </c>
      <c r="G81">
        <f t="shared" si="18"/>
        <v>11.14</v>
      </c>
      <c r="H81">
        <f t="shared" si="13"/>
        <v>2.8599999999999994</v>
      </c>
      <c r="I81">
        <f t="shared" si="14"/>
        <v>10.14</v>
      </c>
      <c r="J81">
        <f t="shared" si="15"/>
        <v>0.7957142857142857</v>
      </c>
      <c r="K81">
        <f t="shared" si="19"/>
        <v>0.75875</v>
      </c>
      <c r="L81" s="66">
        <f>MAX(M$69:M81)</f>
        <v>0.6059945066584136</v>
      </c>
      <c r="M81">
        <f t="shared" si="16"/>
        <v>0.6059945066584136</v>
      </c>
      <c r="N81">
        <f t="shared" si="20"/>
        <v>0</v>
      </c>
    </row>
    <row r="82" spans="1:14" ht="13.5">
      <c r="A82">
        <v>13</v>
      </c>
      <c r="B82">
        <f t="shared" si="17"/>
        <v>0.023757264018058777</v>
      </c>
      <c r="C82">
        <f>SUM(B$69:B81)</f>
        <v>3.904970943927765</v>
      </c>
      <c r="D82">
        <f t="shared" si="21"/>
        <v>3.904970943927765</v>
      </c>
      <c r="E82">
        <f t="shared" si="12"/>
        <v>0.018146357251440776</v>
      </c>
      <c r="F82">
        <f>SUM(E$69:E81)</f>
        <v>2.3712296774616455</v>
      </c>
      <c r="G82">
        <f t="shared" si="18"/>
        <v>11.985</v>
      </c>
      <c r="H82">
        <f t="shared" si="13"/>
        <v>3.0150000000000006</v>
      </c>
      <c r="I82">
        <f t="shared" si="14"/>
        <v>10.985</v>
      </c>
      <c r="J82">
        <f t="shared" si="15"/>
        <v>0.7989999999999999</v>
      </c>
      <c r="K82">
        <f t="shared" si="19"/>
        <v>0.7638235294117647</v>
      </c>
      <c r="L82" s="66">
        <f>MAX(M$69:M82)</f>
        <v>0.6072336290104567</v>
      </c>
      <c r="M82">
        <f t="shared" si="16"/>
        <v>0.6072336290104567</v>
      </c>
      <c r="N82">
        <f t="shared" si="20"/>
        <v>0</v>
      </c>
    </row>
    <row r="83" spans="1:14" ht="13.5">
      <c r="A83">
        <v>14</v>
      </c>
      <c r="B83">
        <f t="shared" si="17"/>
        <v>0.017817948013544083</v>
      </c>
      <c r="C83">
        <f>SUM(B$69:B82)</f>
        <v>3.9287282079458237</v>
      </c>
      <c r="D83">
        <f t="shared" si="21"/>
        <v>3.9287282079458237</v>
      </c>
      <c r="E83">
        <f t="shared" si="12"/>
        <v>0.01369012339040637</v>
      </c>
      <c r="F83">
        <f>SUM(E$69:E82)</f>
        <v>2.389376034713086</v>
      </c>
      <c r="G83">
        <f t="shared" si="18"/>
        <v>12.83</v>
      </c>
      <c r="H83">
        <f t="shared" si="13"/>
        <v>3.17</v>
      </c>
      <c r="I83">
        <f t="shared" si="14"/>
        <v>11.83</v>
      </c>
      <c r="J83">
        <f t="shared" si="15"/>
        <v>0.801875</v>
      </c>
      <c r="K83">
        <f t="shared" si="19"/>
        <v>0.7683333333333333</v>
      </c>
      <c r="L83" s="66">
        <f>MAX(M$69:M83)</f>
        <v>0.6081805378851586</v>
      </c>
      <c r="M83">
        <f t="shared" si="16"/>
        <v>0.6081805378851586</v>
      </c>
      <c r="N83">
        <f t="shared" si="20"/>
        <v>0</v>
      </c>
    </row>
    <row r="84" spans="1:14" ht="13.5">
      <c r="A84">
        <v>15</v>
      </c>
      <c r="B84">
        <f t="shared" si="17"/>
        <v>0.013363461010158062</v>
      </c>
      <c r="C84">
        <f>SUM(B$69:B83)</f>
        <v>3.9465461559593678</v>
      </c>
      <c r="D84">
        <f t="shared" si="21"/>
        <v>3.9465461559593678</v>
      </c>
      <c r="E84">
        <f t="shared" si="12"/>
        <v>0.010321515280214187</v>
      </c>
      <c r="F84">
        <f>SUM(E$69:E83)</f>
        <v>2.4030661581034924</v>
      </c>
      <c r="G84">
        <f t="shared" si="18"/>
        <v>13.674999999999999</v>
      </c>
      <c r="H84">
        <f t="shared" si="13"/>
        <v>3.325000000000001</v>
      </c>
      <c r="I84">
        <f t="shared" si="14"/>
        <v>12.674999999999999</v>
      </c>
      <c r="J84">
        <f t="shared" si="15"/>
        <v>0.8044117647058823</v>
      </c>
      <c r="K84">
        <f t="shared" si="19"/>
        <v>0.7723684210526315</v>
      </c>
      <c r="L84" s="66">
        <f>MAX(M$69:M84)</f>
        <v>0.6089035990304617</v>
      </c>
      <c r="M84">
        <f t="shared" si="16"/>
        <v>0.6089035990304617</v>
      </c>
      <c r="N84">
        <f t="shared" si="20"/>
        <v>0</v>
      </c>
    </row>
    <row r="85" spans="1:14" ht="13.5">
      <c r="A85">
        <v>16</v>
      </c>
      <c r="B85">
        <f t="shared" si="17"/>
        <v>0.010022595757618546</v>
      </c>
      <c r="C85">
        <f>SUM(B$69:B84)</f>
        <v>3.959909616969526</v>
      </c>
      <c r="D85">
        <f t="shared" si="21"/>
        <v>3.959909616969526</v>
      </c>
      <c r="E85">
        <f t="shared" si="12"/>
        <v>0.007777534307911992</v>
      </c>
      <c r="F85">
        <f>SUM(E$69:E84)</f>
        <v>2.4133876733837067</v>
      </c>
      <c r="G85">
        <f t="shared" si="18"/>
        <v>14.52</v>
      </c>
      <c r="H85">
        <f t="shared" si="13"/>
        <v>3.4800000000000004</v>
      </c>
      <c r="I85">
        <f t="shared" si="14"/>
        <v>13.52</v>
      </c>
      <c r="J85">
        <f t="shared" si="15"/>
        <v>0.8066666666666666</v>
      </c>
      <c r="K85">
        <f t="shared" si="19"/>
        <v>0.776</v>
      </c>
      <c r="L85" s="66">
        <f>MAX(M$69:M85)</f>
        <v>0.6094552418675265</v>
      </c>
      <c r="M85">
        <f t="shared" si="16"/>
        <v>0.6094552418675265</v>
      </c>
      <c r="N85">
        <f t="shared" si="20"/>
        <v>0</v>
      </c>
    </row>
    <row r="86" spans="1:14" ht="13.5">
      <c r="A86">
        <v>17</v>
      </c>
      <c r="B86">
        <f t="shared" si="17"/>
        <v>0.00751694681821391</v>
      </c>
      <c r="C86">
        <f>SUM(B$69:B85)</f>
        <v>3.9699322127271444</v>
      </c>
      <c r="D86">
        <f t="shared" si="21"/>
        <v>3.9699322127271444</v>
      </c>
      <c r="E86">
        <f t="shared" si="12"/>
        <v>0.005857849270479555</v>
      </c>
      <c r="F86">
        <f>SUM(E$69:E85)</f>
        <v>2.421165207691619</v>
      </c>
      <c r="G86">
        <f t="shared" si="18"/>
        <v>15.365</v>
      </c>
      <c r="H86">
        <f t="shared" si="13"/>
        <v>3.635</v>
      </c>
      <c r="I86">
        <f t="shared" si="14"/>
        <v>14.365</v>
      </c>
      <c r="J86">
        <f t="shared" si="15"/>
        <v>0.8086842105263158</v>
      </c>
      <c r="K86">
        <f t="shared" si="19"/>
        <v>0.7792857142857144</v>
      </c>
      <c r="L86" s="66">
        <f>MAX(M$69:M86)</f>
        <v>0.6098757051643457</v>
      </c>
      <c r="M86">
        <f t="shared" si="16"/>
        <v>0.6098757051643457</v>
      </c>
      <c r="N86">
        <f t="shared" si="20"/>
        <v>0</v>
      </c>
    </row>
    <row r="87" spans="1:14" ht="13.5">
      <c r="A87">
        <v>18</v>
      </c>
      <c r="B87">
        <f t="shared" si="17"/>
        <v>0.005637710113660432</v>
      </c>
      <c r="C87">
        <f>SUM(B$69:B86)</f>
        <v>3.9774491595453583</v>
      </c>
      <c r="D87">
        <f t="shared" si="21"/>
        <v>3.9774491595453583</v>
      </c>
      <c r="E87">
        <f t="shared" si="12"/>
        <v>0.004410226866186184</v>
      </c>
      <c r="F87">
        <f>SUM(E$69:E86)</f>
        <v>2.4270230569620983</v>
      </c>
      <c r="G87">
        <f t="shared" si="18"/>
        <v>16.21</v>
      </c>
      <c r="H87">
        <f t="shared" si="13"/>
        <v>3.790000000000001</v>
      </c>
      <c r="I87">
        <f t="shared" si="14"/>
        <v>15.209999999999999</v>
      </c>
      <c r="J87">
        <f t="shared" si="15"/>
        <v>0.8105</v>
      </c>
      <c r="K87">
        <f t="shared" si="19"/>
        <v>0.7822727272727273</v>
      </c>
      <c r="L87" s="66">
        <f>MAX(M$69:M87)</f>
        <v>0.6101958716775951</v>
      </c>
      <c r="M87">
        <f t="shared" si="16"/>
        <v>0.6101958716775951</v>
      </c>
      <c r="N87">
        <f t="shared" si="20"/>
        <v>0</v>
      </c>
    </row>
    <row r="88" spans="1:14" ht="13.5">
      <c r="A88">
        <v>19</v>
      </c>
      <c r="B88">
        <f t="shared" si="17"/>
        <v>0.004228282585245324</v>
      </c>
      <c r="C88">
        <f>SUM(B$69:B87)</f>
        <v>3.9830868696590187</v>
      </c>
      <c r="D88">
        <f t="shared" si="21"/>
        <v>3.9830868696590187</v>
      </c>
      <c r="E88">
        <f t="shared" si="12"/>
        <v>0.0033192018294175797</v>
      </c>
      <c r="F88">
        <f>SUM(E$69:E87)</f>
        <v>2.4314332838282846</v>
      </c>
      <c r="G88">
        <f t="shared" si="18"/>
        <v>17.055</v>
      </c>
      <c r="H88">
        <f t="shared" si="13"/>
        <v>3.9450000000000003</v>
      </c>
      <c r="I88">
        <f t="shared" si="14"/>
        <v>16.055</v>
      </c>
      <c r="J88">
        <f t="shared" si="15"/>
        <v>0.8121428571428572</v>
      </c>
      <c r="K88">
        <f t="shared" si="19"/>
        <v>0.785</v>
      </c>
      <c r="L88" s="66">
        <f>MAX(M$69:M88)</f>
        <v>0.6104394313740973</v>
      </c>
      <c r="M88">
        <f t="shared" si="16"/>
        <v>0.6104394313740973</v>
      </c>
      <c r="N88">
        <f t="shared" si="20"/>
        <v>0</v>
      </c>
    </row>
    <row r="89" spans="1:14" ht="13.5">
      <c r="A89">
        <v>20</v>
      </c>
      <c r="B89">
        <f t="shared" si="17"/>
        <v>0.0031712119389339932</v>
      </c>
      <c r="C89">
        <f>SUM(B$69:B88)</f>
        <v>3.987315152244264</v>
      </c>
      <c r="D89">
        <f t="shared" si="21"/>
        <v>3.987315152244264</v>
      </c>
      <c r="E89">
        <f t="shared" si="12"/>
        <v>0.0024973294019105196</v>
      </c>
      <c r="F89">
        <f>SUM(E$69:E88)</f>
        <v>2.434752485657702</v>
      </c>
      <c r="G89">
        <f t="shared" si="18"/>
        <v>17.9</v>
      </c>
      <c r="H89">
        <f t="shared" si="13"/>
        <v>4.100000000000001</v>
      </c>
      <c r="I89">
        <f t="shared" si="14"/>
        <v>16.9</v>
      </c>
      <c r="J89">
        <f t="shared" si="15"/>
        <v>0.8136363636363636</v>
      </c>
      <c r="K89">
        <f t="shared" si="19"/>
        <v>0.7875</v>
      </c>
      <c r="L89" s="66">
        <f>MAX(M$69:M89)</f>
        <v>0.6106245412498431</v>
      </c>
      <c r="M89">
        <f t="shared" si="16"/>
        <v>0.6106245412498431</v>
      </c>
      <c r="N89">
        <f t="shared" si="20"/>
        <v>0</v>
      </c>
    </row>
    <row r="90" spans="1:14" ht="13.5">
      <c r="A90">
        <v>21</v>
      </c>
      <c r="B90">
        <f t="shared" si="17"/>
        <v>0.002378408954200495</v>
      </c>
      <c r="C90">
        <f>SUM(B$69:B89)</f>
        <v>3.990486364183198</v>
      </c>
      <c r="D90">
        <f t="shared" si="21"/>
        <v>3.990486364183198</v>
      </c>
      <c r="E90">
        <f t="shared" si="12"/>
        <v>0.001878467392027551</v>
      </c>
      <c r="F90">
        <f>SUM(E$69:E89)</f>
        <v>2.4372498150596127</v>
      </c>
      <c r="G90">
        <f t="shared" si="18"/>
        <v>18.745</v>
      </c>
      <c r="H90">
        <f t="shared" si="13"/>
        <v>4.254999999999999</v>
      </c>
      <c r="I90">
        <f t="shared" si="14"/>
        <v>17.745</v>
      </c>
      <c r="J90">
        <f t="shared" si="15"/>
        <v>0.8150000000000001</v>
      </c>
      <c r="K90">
        <f t="shared" si="19"/>
        <v>0.7898000000000001</v>
      </c>
      <c r="L90" s="66">
        <f>MAX(M$69:M90)</f>
        <v>0.6107651029546838</v>
      </c>
      <c r="M90">
        <f t="shared" si="16"/>
        <v>0.6107651029546838</v>
      </c>
      <c r="N90">
        <f t="shared" si="20"/>
        <v>0</v>
      </c>
    </row>
    <row r="91" spans="1:14" ht="13.5">
      <c r="A91">
        <v>22</v>
      </c>
      <c r="B91">
        <f t="shared" si="17"/>
        <v>0.0017838067156503712</v>
      </c>
      <c r="C91">
        <f>SUM(B$69:B90)</f>
        <v>3.9928647731373985</v>
      </c>
      <c r="D91">
        <f t="shared" si="21"/>
        <v>3.9928647731373985</v>
      </c>
      <c r="E91">
        <f t="shared" si="12"/>
        <v>0.0014126377028938902</v>
      </c>
      <c r="F91">
        <f>SUM(E$69:E90)</f>
        <v>2.43912828245164</v>
      </c>
      <c r="G91">
        <f t="shared" si="18"/>
        <v>19.59</v>
      </c>
      <c r="H91">
        <f t="shared" si="13"/>
        <v>4.41</v>
      </c>
      <c r="I91">
        <f t="shared" si="14"/>
        <v>18.59</v>
      </c>
      <c r="J91">
        <f t="shared" si="15"/>
        <v>0.81625</v>
      </c>
      <c r="K91">
        <f t="shared" si="19"/>
        <v>0.791923076923077</v>
      </c>
      <c r="L91" s="66">
        <f>MAX(M$69:M91)</f>
        <v>0.6108717477389278</v>
      </c>
      <c r="M91">
        <f t="shared" si="16"/>
        <v>0.6108717477389278</v>
      </c>
      <c r="N91">
        <f t="shared" si="20"/>
        <v>0</v>
      </c>
    </row>
    <row r="92" spans="1:14" ht="13.5">
      <c r="A92">
        <v>23</v>
      </c>
      <c r="B92">
        <f t="shared" si="17"/>
        <v>0.0013378550367377784</v>
      </c>
      <c r="C92">
        <f>SUM(B$69:B91)</f>
        <v>3.994648579853049</v>
      </c>
      <c r="D92">
        <f t="shared" si="21"/>
        <v>3.994648579853049</v>
      </c>
      <c r="E92">
        <f t="shared" si="12"/>
        <v>0.0010621082486101585</v>
      </c>
      <c r="F92">
        <f>SUM(E$69:E91)</f>
        <v>2.440540920154534</v>
      </c>
      <c r="G92">
        <f t="shared" si="18"/>
        <v>20.435</v>
      </c>
      <c r="H92">
        <f t="shared" si="13"/>
        <v>4.565000000000001</v>
      </c>
      <c r="I92">
        <f t="shared" si="14"/>
        <v>19.435</v>
      </c>
      <c r="J92">
        <f t="shared" si="15"/>
        <v>0.8173999999999999</v>
      </c>
      <c r="K92">
        <f t="shared" si="19"/>
        <v>0.7938888888888889</v>
      </c>
      <c r="L92" s="66">
        <f>MAX(M$69:M92)</f>
        <v>0.6109525960464622</v>
      </c>
      <c r="M92">
        <f t="shared" si="16"/>
        <v>0.6109525960464622</v>
      </c>
      <c r="N92">
        <f t="shared" si="20"/>
        <v>0</v>
      </c>
    </row>
    <row r="93" spans="1:14" ht="13.5">
      <c r="A93">
        <v>24</v>
      </c>
      <c r="B93">
        <f t="shared" si="17"/>
        <v>0.0010033912775533338</v>
      </c>
      <c r="C93">
        <f>SUM(B$69:B92)</f>
        <v>3.9959864348897867</v>
      </c>
      <c r="D93">
        <f t="shared" si="21"/>
        <v>3.9959864348897867</v>
      </c>
      <c r="E93">
        <f t="shared" si="12"/>
        <v>0.0007984127737102956</v>
      </c>
      <c r="F93">
        <f>SUM(E$69:E92)</f>
        <v>2.441603028403144</v>
      </c>
      <c r="G93">
        <f t="shared" si="18"/>
        <v>21.28</v>
      </c>
      <c r="H93">
        <f t="shared" si="13"/>
        <v>4.719999999999999</v>
      </c>
      <c r="I93">
        <f t="shared" si="14"/>
        <v>20.28</v>
      </c>
      <c r="J93">
        <f t="shared" si="15"/>
        <v>0.8184615384615385</v>
      </c>
      <c r="K93">
        <f t="shared" si="19"/>
        <v>0.7957142857142857</v>
      </c>
      <c r="L93" s="66">
        <f>MAX(M$69:M93)</f>
        <v>0.6110138430613782</v>
      </c>
      <c r="M93">
        <f t="shared" si="16"/>
        <v>0.6110138430613782</v>
      </c>
      <c r="N93">
        <f t="shared" si="20"/>
        <v>0</v>
      </c>
    </row>
    <row r="94" spans="1:14" ht="13.5">
      <c r="A94">
        <v>25</v>
      </c>
      <c r="B94">
        <f t="shared" si="17"/>
        <v>0.0007525434581650003</v>
      </c>
      <c r="C94">
        <f>SUM(B$69:B93)</f>
        <v>3.99698982616734</v>
      </c>
      <c r="D94">
        <f t="shared" si="21"/>
        <v>3.99698982616734</v>
      </c>
      <c r="E94">
        <f t="shared" si="12"/>
        <v>0.0006000885334505391</v>
      </c>
      <c r="F94">
        <f>SUM(E$69:E93)</f>
        <v>2.4424014411768544</v>
      </c>
      <c r="G94">
        <f t="shared" si="18"/>
        <v>22.125</v>
      </c>
      <c r="H94">
        <f t="shared" si="13"/>
        <v>4.875</v>
      </c>
      <c r="I94">
        <f t="shared" si="14"/>
        <v>21.125</v>
      </c>
      <c r="J94">
        <f t="shared" si="15"/>
        <v>0.8194444444444444</v>
      </c>
      <c r="K94">
        <f t="shared" si="19"/>
        <v>0.7974137931034483</v>
      </c>
      <c r="L94" s="66">
        <f>MAX(M$69:M94)</f>
        <v>0.6110602096575363</v>
      </c>
      <c r="M94">
        <f t="shared" si="16"/>
        <v>0.6110602096575363</v>
      </c>
      <c r="N94">
        <f t="shared" si="20"/>
        <v>0</v>
      </c>
    </row>
    <row r="95" spans="1:14" ht="13.5">
      <c r="A95">
        <v>26</v>
      </c>
      <c r="B95">
        <f t="shared" si="17"/>
        <v>0.0005644075936237503</v>
      </c>
      <c r="C95">
        <f>SUM(B$69:B94)</f>
        <v>3.997742369625505</v>
      </c>
      <c r="D95">
        <f t="shared" si="21"/>
        <v>3.997742369625505</v>
      </c>
      <c r="E95">
        <f t="shared" si="12"/>
        <v>0.0004509616673053764</v>
      </c>
      <c r="F95">
        <f>SUM(E$69:E94)</f>
        <v>2.443001529710305</v>
      </c>
      <c r="G95">
        <f t="shared" si="18"/>
        <v>22.97</v>
      </c>
      <c r="H95">
        <f t="shared" si="13"/>
        <v>5.030000000000001</v>
      </c>
      <c r="I95">
        <f t="shared" si="14"/>
        <v>21.97</v>
      </c>
      <c r="J95">
        <f t="shared" si="15"/>
        <v>0.8203571428571428</v>
      </c>
      <c r="K95">
        <f t="shared" si="19"/>
        <v>0.7989999999999999</v>
      </c>
      <c r="L95" s="66">
        <f>MAX(M$69:M95)</f>
        <v>0.6110952892492563</v>
      </c>
      <c r="M95">
        <f t="shared" si="16"/>
        <v>0.6110952892492563</v>
      </c>
      <c r="N95">
        <f t="shared" si="20"/>
        <v>0</v>
      </c>
    </row>
    <row r="96" spans="1:14" ht="13.5">
      <c r="A96">
        <v>27</v>
      </c>
      <c r="B96">
        <f t="shared" si="17"/>
        <v>0.0004233056952178127</v>
      </c>
      <c r="C96">
        <f>SUM(B$69:B95)</f>
        <v>3.9983067772191285</v>
      </c>
      <c r="D96">
        <f t="shared" si="21"/>
        <v>3.9983067772191285</v>
      </c>
      <c r="E96">
        <f t="shared" si="12"/>
        <v>0.00033884938151064584</v>
      </c>
      <c r="F96">
        <f>SUM(E$69:E95)</f>
        <v>2.4434524913776103</v>
      </c>
      <c r="G96">
        <f t="shared" si="18"/>
        <v>23.814999999999998</v>
      </c>
      <c r="H96">
        <f t="shared" si="13"/>
        <v>5.185000000000002</v>
      </c>
      <c r="I96">
        <f t="shared" si="14"/>
        <v>22.814999999999998</v>
      </c>
      <c r="J96">
        <f t="shared" si="15"/>
        <v>0.8212068965517241</v>
      </c>
      <c r="K96">
        <f t="shared" si="19"/>
        <v>0.8004838709677419</v>
      </c>
      <c r="L96" s="66">
        <f>MAX(M$69:M96)</f>
        <v>0.6111218141888206</v>
      </c>
      <c r="M96">
        <f t="shared" si="16"/>
        <v>0.6111218141888206</v>
      </c>
      <c r="N96">
        <f t="shared" si="20"/>
        <v>0</v>
      </c>
    </row>
    <row r="97" spans="1:14" ht="13.5">
      <c r="A97">
        <v>28</v>
      </c>
      <c r="B97">
        <f t="shared" si="17"/>
        <v>0.0003174792714133595</v>
      </c>
      <c r="C97">
        <f>SUM(B$69:B96)</f>
        <v>3.998730082914346</v>
      </c>
      <c r="D97">
        <f t="shared" si="21"/>
        <v>3.998730082914346</v>
      </c>
      <c r="E97">
        <f t="shared" si="12"/>
        <v>0.00025457869076458766</v>
      </c>
      <c r="F97">
        <f>SUM(E$69:E96)</f>
        <v>2.443791340759121</v>
      </c>
      <c r="G97">
        <f t="shared" si="18"/>
        <v>24.66</v>
      </c>
      <c r="H97">
        <f t="shared" si="13"/>
        <v>5.34</v>
      </c>
      <c r="I97">
        <f t="shared" si="14"/>
        <v>23.66</v>
      </c>
      <c r="J97">
        <f t="shared" si="15"/>
        <v>0.822</v>
      </c>
      <c r="K97">
        <f t="shared" si="19"/>
        <v>0.801875</v>
      </c>
      <c r="L97" s="66">
        <f>MAX(M$69:M97)</f>
        <v>0.611141860062243</v>
      </c>
      <c r="M97">
        <f t="shared" si="16"/>
        <v>0.611141860062243</v>
      </c>
      <c r="N97">
        <f t="shared" si="20"/>
        <v>0</v>
      </c>
    </row>
    <row r="98" spans="1:14" ht="13.5">
      <c r="A98">
        <v>29</v>
      </c>
      <c r="B98">
        <f t="shared" si="17"/>
        <v>0.00023810945356001964</v>
      </c>
      <c r="C98">
        <f>SUM(B$69:B97)</f>
        <v>3.9990475621857597</v>
      </c>
      <c r="D98">
        <f t="shared" si="21"/>
        <v>3.9990475621857597</v>
      </c>
      <c r="E98">
        <f t="shared" si="12"/>
        <v>0.00019124518383661576</v>
      </c>
      <c r="F98">
        <f>SUM(E$69:E97)</f>
        <v>2.4440459194498856</v>
      </c>
      <c r="G98">
        <f t="shared" si="18"/>
        <v>25.505</v>
      </c>
      <c r="H98">
        <f t="shared" si="13"/>
        <v>5.495000000000001</v>
      </c>
      <c r="I98">
        <f t="shared" si="14"/>
        <v>24.505</v>
      </c>
      <c r="J98">
        <f t="shared" si="15"/>
        <v>0.822741935483871</v>
      </c>
      <c r="K98">
        <f t="shared" si="19"/>
        <v>0.8031818181818181</v>
      </c>
      <c r="L98" s="66">
        <f>MAX(M$69:M98)</f>
        <v>0.6111570021222862</v>
      </c>
      <c r="M98">
        <f t="shared" si="16"/>
        <v>0.6111570021222862</v>
      </c>
      <c r="N98">
        <f t="shared" si="20"/>
        <v>0</v>
      </c>
    </row>
    <row r="99" spans="1:14" ht="13.5">
      <c r="A99">
        <v>30</v>
      </c>
      <c r="B99">
        <f t="shared" si="17"/>
        <v>0.00017858209017001473</v>
      </c>
      <c r="C99">
        <f>SUM(B$69:B98)</f>
        <v>3.9992856716393197</v>
      </c>
      <c r="D99">
        <f t="shared" si="21"/>
        <v>3.9992856716393197</v>
      </c>
      <c r="E99">
        <f t="shared" si="12"/>
        <v>0.00014365353429852655</v>
      </c>
      <c r="F99">
        <f>SUM(E$69:E98)</f>
        <v>2.444237164633722</v>
      </c>
      <c r="G99">
        <f t="shared" si="18"/>
        <v>26.349999999999998</v>
      </c>
      <c r="H99">
        <f t="shared" si="13"/>
        <v>5.650000000000002</v>
      </c>
      <c r="I99">
        <f t="shared" si="14"/>
        <v>25.349999999999998</v>
      </c>
      <c r="J99">
        <f t="shared" si="15"/>
        <v>0.8234374999999999</v>
      </c>
      <c r="K99">
        <f t="shared" si="19"/>
        <v>0.8044117647058823</v>
      </c>
      <c r="L99" s="66">
        <f>MAX(M$69:M99)</f>
        <v>0.61116843489498</v>
      </c>
      <c r="M99">
        <f t="shared" si="16"/>
        <v>0.61116843489498</v>
      </c>
      <c r="N99">
        <f t="shared" si="20"/>
        <v>0</v>
      </c>
    </row>
    <row r="100" spans="1:14" ht="13.5">
      <c r="A100">
        <v>31</v>
      </c>
      <c r="B100">
        <f t="shared" si="17"/>
        <v>0.00013393656762751105</v>
      </c>
      <c r="C100">
        <f>SUM(B$69:B99)</f>
        <v>3.9994642537294895</v>
      </c>
      <c r="D100">
        <f t="shared" si="21"/>
        <v>3.9994642537294895</v>
      </c>
      <c r="E100">
        <f t="shared" si="12"/>
        <v>0.00010789547212164783</v>
      </c>
      <c r="F100">
        <f>SUM(E$69:E99)</f>
        <v>2.4443808181680207</v>
      </c>
      <c r="G100">
        <f t="shared" si="18"/>
        <v>27.195</v>
      </c>
      <c r="H100">
        <f t="shared" si="13"/>
        <v>5.805</v>
      </c>
      <c r="I100">
        <f t="shared" si="14"/>
        <v>26.195</v>
      </c>
      <c r="J100">
        <f t="shared" si="15"/>
        <v>0.8240909090909091</v>
      </c>
      <c r="K100">
        <f t="shared" si="19"/>
        <v>0.8055714285714286</v>
      </c>
      <c r="L100" s="66">
        <f>MAX(M$69:M100)</f>
        <v>0.6111770635001031</v>
      </c>
      <c r="M100">
        <f t="shared" si="16"/>
        <v>0.6111770635001031</v>
      </c>
      <c r="N100">
        <f t="shared" si="20"/>
        <v>0</v>
      </c>
    </row>
    <row r="101" spans="1:14" ht="13.5">
      <c r="A101">
        <v>32</v>
      </c>
      <c r="B101">
        <f t="shared" si="17"/>
        <v>0.00010045242572063329</v>
      </c>
      <c r="C101">
        <f>SUM(B$69:B100)</f>
        <v>3.999598190297117</v>
      </c>
      <c r="D101">
        <f t="shared" si="21"/>
        <v>3.999598190297117</v>
      </c>
      <c r="E101">
        <f aca="true" t="shared" si="22" ref="E101:E132">K101*B101</f>
        <v>8.103162341464418E-05</v>
      </c>
      <c r="F101">
        <f>SUM(E$69:E100)</f>
        <v>2.4444887136401423</v>
      </c>
      <c r="G101">
        <f t="shared" si="18"/>
        <v>28.04</v>
      </c>
      <c r="H101">
        <f aca="true" t="shared" si="23" ref="H101:H132">($H$67+A101-I101)</f>
        <v>5.960000000000001</v>
      </c>
      <c r="I101">
        <f aca="true" t="shared" si="24" ref="I101:I132">A101*$I$67</f>
        <v>27.04</v>
      </c>
      <c r="J101">
        <f aca="true" t="shared" si="25" ref="J101:J132">($G$67+I101)/(($G$67+I101)+($H$67+A101-I101))</f>
        <v>0.8247058823529412</v>
      </c>
      <c r="K101">
        <f t="shared" si="19"/>
        <v>0.8066666666666666</v>
      </c>
      <c r="L101" s="66">
        <f>MAX(M$69:M101)</f>
        <v>0.6111835732825325</v>
      </c>
      <c r="M101">
        <f aca="true" t="shared" si="26" ref="M101:M132">F101/D101</f>
        <v>0.6111835732825325</v>
      </c>
      <c r="N101">
        <f t="shared" si="20"/>
        <v>0</v>
      </c>
    </row>
    <row r="102" spans="1:14" ht="13.5">
      <c r="A102">
        <v>33</v>
      </c>
      <c r="B102">
        <f t="shared" si="17"/>
        <v>7.533931929047496E-05</v>
      </c>
      <c r="C102">
        <f>SUM(B$69:B101)</f>
        <v>3.9996986427228376</v>
      </c>
      <c r="D102">
        <f t="shared" si="21"/>
        <v>3.9996986427228376</v>
      </c>
      <c r="E102">
        <f t="shared" si="22"/>
        <v>6.0851771810698486E-05</v>
      </c>
      <c r="F102">
        <f>SUM(E$69:E101)</f>
        <v>2.444569745263557</v>
      </c>
      <c r="G102">
        <f t="shared" si="18"/>
        <v>28.884999999999998</v>
      </c>
      <c r="H102">
        <f t="shared" si="23"/>
        <v>6.115000000000002</v>
      </c>
      <c r="I102">
        <f t="shared" si="24"/>
        <v>27.884999999999998</v>
      </c>
      <c r="J102">
        <f t="shared" si="25"/>
        <v>0.8252857142857142</v>
      </c>
      <c r="K102">
        <f t="shared" si="19"/>
        <v>0.8077027027027026</v>
      </c>
      <c r="L102" s="66">
        <f>MAX(M$69:M102)</f>
        <v>0.6111884828401447</v>
      </c>
      <c r="M102">
        <f t="shared" si="26"/>
        <v>0.6111884828401447</v>
      </c>
      <c r="N102">
        <f t="shared" si="20"/>
        <v>0</v>
      </c>
    </row>
    <row r="103" spans="1:14" ht="13.5">
      <c r="A103">
        <v>34</v>
      </c>
      <c r="B103">
        <f t="shared" si="17"/>
        <v>5.650448946785622E-05</v>
      </c>
      <c r="C103">
        <f>SUM(B$69:B102)</f>
        <v>3.999773982042128</v>
      </c>
      <c r="D103">
        <f t="shared" si="21"/>
        <v>3.999773982042128</v>
      </c>
      <c r="E103">
        <f t="shared" si="22"/>
        <v>4.569428845650583E-05</v>
      </c>
      <c r="F103">
        <f>SUM(E$69:E102)</f>
        <v>2.444630597035368</v>
      </c>
      <c r="G103">
        <f t="shared" si="18"/>
        <v>29.73</v>
      </c>
      <c r="H103">
        <f t="shared" si="23"/>
        <v>6.27</v>
      </c>
      <c r="I103">
        <f t="shared" si="24"/>
        <v>28.73</v>
      </c>
      <c r="J103">
        <f t="shared" si="25"/>
        <v>0.8258333333333333</v>
      </c>
      <c r="K103">
        <f t="shared" si="19"/>
        <v>0.8086842105263158</v>
      </c>
      <c r="L103" s="66">
        <f>MAX(M$69:M103)</f>
        <v>0.6111921843611862</v>
      </c>
      <c r="M103">
        <f t="shared" si="26"/>
        <v>0.6111921843611862</v>
      </c>
      <c r="N103">
        <f t="shared" si="20"/>
        <v>0</v>
      </c>
    </row>
    <row r="104" spans="1:14" ht="13.5">
      <c r="A104">
        <v>35</v>
      </c>
      <c r="B104">
        <f t="shared" si="17"/>
        <v>4.2378367100892165E-05</v>
      </c>
      <c r="C104">
        <f>SUM(B$69:B103)</f>
        <v>3.9998304865315957</v>
      </c>
      <c r="D104">
        <f t="shared" si="21"/>
        <v>3.9998304865315957</v>
      </c>
      <c r="E104">
        <f t="shared" si="22"/>
        <v>3.431017797976077E-05</v>
      </c>
      <c r="F104">
        <f>SUM(E$69:E103)</f>
        <v>2.4446762913238245</v>
      </c>
      <c r="G104">
        <f t="shared" si="18"/>
        <v>30.575</v>
      </c>
      <c r="H104">
        <f t="shared" si="23"/>
        <v>6.425000000000001</v>
      </c>
      <c r="I104">
        <f t="shared" si="24"/>
        <v>29.575</v>
      </c>
      <c r="J104">
        <f t="shared" si="25"/>
        <v>0.8263513513513513</v>
      </c>
      <c r="K104">
        <f t="shared" si="19"/>
        <v>0.8096153846153846</v>
      </c>
      <c r="L104" s="66">
        <f>MAX(M$69:M104)</f>
        <v>0.6111949742759463</v>
      </c>
      <c r="M104">
        <f t="shared" si="26"/>
        <v>0.6111949742759463</v>
      </c>
      <c r="N104">
        <f t="shared" si="20"/>
        <v>0</v>
      </c>
    </row>
    <row r="105" spans="1:14" ht="13.5">
      <c r="A105">
        <v>36</v>
      </c>
      <c r="B105">
        <f t="shared" si="17"/>
        <v>3.178377532566913E-05</v>
      </c>
      <c r="C105">
        <f>SUM(B$69:B104)</f>
        <v>3.9998728648986965</v>
      </c>
      <c r="D105">
        <f t="shared" si="21"/>
        <v>3.9998728648986965</v>
      </c>
      <c r="E105">
        <f t="shared" si="22"/>
        <v>2.5760749901454827E-05</v>
      </c>
      <c r="F105">
        <f>SUM(E$69:E104)</f>
        <v>2.444710601501804</v>
      </c>
      <c r="G105">
        <f t="shared" si="18"/>
        <v>31.419999999999998</v>
      </c>
      <c r="H105">
        <f t="shared" si="23"/>
        <v>6.580000000000002</v>
      </c>
      <c r="I105">
        <f t="shared" si="24"/>
        <v>30.419999999999998</v>
      </c>
      <c r="J105">
        <f t="shared" si="25"/>
        <v>0.8268421052631578</v>
      </c>
      <c r="K105">
        <f t="shared" si="19"/>
        <v>0.8105</v>
      </c>
      <c r="L105" s="66">
        <f>MAX(M$69:M105)</f>
        <v>0.6111970765260112</v>
      </c>
      <c r="M105">
        <f t="shared" si="26"/>
        <v>0.6111970765260112</v>
      </c>
      <c r="N105">
        <f t="shared" si="20"/>
        <v>0</v>
      </c>
    </row>
    <row r="106" spans="1:14" ht="13.5">
      <c r="A106">
        <v>37</v>
      </c>
      <c r="B106">
        <f t="shared" si="17"/>
        <v>2.3837831494251845E-05</v>
      </c>
      <c r="C106">
        <f>SUM(B$69:B105)</f>
        <v>3.9999046486740224</v>
      </c>
      <c r="D106">
        <f t="shared" si="21"/>
        <v>3.9999046486740224</v>
      </c>
      <c r="E106">
        <f t="shared" si="22"/>
        <v>1.934062108917775E-05</v>
      </c>
      <c r="F106">
        <f>SUM(E$69:E105)</f>
        <v>2.4447363622517053</v>
      </c>
      <c r="G106">
        <f t="shared" si="18"/>
        <v>32.265</v>
      </c>
      <c r="H106">
        <f t="shared" si="23"/>
        <v>6.734999999999999</v>
      </c>
      <c r="I106">
        <f t="shared" si="24"/>
        <v>31.265</v>
      </c>
      <c r="J106">
        <f t="shared" si="25"/>
        <v>0.8273076923076923</v>
      </c>
      <c r="K106">
        <f t="shared" si="19"/>
        <v>0.8113414634146342</v>
      </c>
      <c r="L106" s="66">
        <f>MAX(M$69:M106)</f>
        <v>0.6111986602135981</v>
      </c>
      <c r="M106">
        <f t="shared" si="26"/>
        <v>0.6111986602135981</v>
      </c>
      <c r="N106">
        <f t="shared" si="20"/>
        <v>0</v>
      </c>
    </row>
    <row r="107" spans="1:14" ht="13.5">
      <c r="A107">
        <v>38</v>
      </c>
      <c r="B107">
        <f t="shared" si="17"/>
        <v>1.7878373620688882E-05</v>
      </c>
      <c r="C107">
        <f>SUM(B$69:B106)</f>
        <v>3.9999284865055165</v>
      </c>
      <c r="D107">
        <f t="shared" si="21"/>
        <v>3.9999284865055165</v>
      </c>
      <c r="E107">
        <f t="shared" si="22"/>
        <v>1.4519793433373757E-05</v>
      </c>
      <c r="F107">
        <f>SUM(E$69:E106)</f>
        <v>2.4447557028727944</v>
      </c>
      <c r="G107">
        <f t="shared" si="18"/>
        <v>33.11</v>
      </c>
      <c r="H107">
        <f t="shared" si="23"/>
        <v>6.890000000000001</v>
      </c>
      <c r="I107">
        <f t="shared" si="24"/>
        <v>32.11</v>
      </c>
      <c r="J107">
        <f t="shared" si="25"/>
        <v>0.82775</v>
      </c>
      <c r="K107">
        <f t="shared" si="19"/>
        <v>0.8121428571428572</v>
      </c>
      <c r="L107" s="66">
        <f>MAX(M$69:M107)</f>
        <v>0.6111998529775272</v>
      </c>
      <c r="M107">
        <f t="shared" si="26"/>
        <v>0.6111998529775272</v>
      </c>
      <c r="N107">
        <f t="shared" si="20"/>
        <v>0</v>
      </c>
    </row>
    <row r="108" spans="1:14" ht="13.5">
      <c r="A108">
        <v>39</v>
      </c>
      <c r="B108">
        <f t="shared" si="17"/>
        <v>1.3408780215516662E-05</v>
      </c>
      <c r="C108">
        <f>SUM(B$69:B107)</f>
        <v>3.999946364879137</v>
      </c>
      <c r="D108">
        <f t="shared" si="21"/>
        <v>3.999946364879137</v>
      </c>
      <c r="E108">
        <f t="shared" si="22"/>
        <v>1.0900090986822905E-05</v>
      </c>
      <c r="F108">
        <f>SUM(E$69:E107)</f>
        <v>2.444770222666228</v>
      </c>
      <c r="G108">
        <f t="shared" si="18"/>
        <v>33.955</v>
      </c>
      <c r="H108">
        <f t="shared" si="23"/>
        <v>7.045000000000002</v>
      </c>
      <c r="I108">
        <f t="shared" si="24"/>
        <v>32.955</v>
      </c>
      <c r="J108">
        <f t="shared" si="25"/>
        <v>0.828170731707317</v>
      </c>
      <c r="K108">
        <f t="shared" si="19"/>
        <v>0.812906976744186</v>
      </c>
      <c r="L108" s="66">
        <f>MAX(M$69:M108)</f>
        <v>0.6112007511230965</v>
      </c>
      <c r="M108">
        <f t="shared" si="26"/>
        <v>0.6112007511230965</v>
      </c>
      <c r="N108">
        <f t="shared" si="20"/>
        <v>0</v>
      </c>
    </row>
    <row r="109" spans="1:14" ht="13.5">
      <c r="A109">
        <v>40</v>
      </c>
      <c r="B109">
        <f t="shared" si="17"/>
        <v>1.0056585161637497E-05</v>
      </c>
      <c r="C109">
        <f>SUM(B$69:B108)</f>
        <v>3.9999597736593526</v>
      </c>
      <c r="D109">
        <f t="shared" si="21"/>
        <v>3.9999597736593526</v>
      </c>
      <c r="E109">
        <f t="shared" si="22"/>
        <v>8.182403381514144E-06</v>
      </c>
      <c r="F109">
        <f>SUM(E$69:E108)</f>
        <v>2.4447811227572145</v>
      </c>
      <c r="G109">
        <f t="shared" si="18"/>
        <v>34.8</v>
      </c>
      <c r="H109">
        <f t="shared" si="23"/>
        <v>7.200000000000003</v>
      </c>
      <c r="I109">
        <f t="shared" si="24"/>
        <v>33.8</v>
      </c>
      <c r="J109">
        <f t="shared" si="25"/>
        <v>0.8285714285714285</v>
      </c>
      <c r="K109">
        <f t="shared" si="19"/>
        <v>0.8136363636363636</v>
      </c>
      <c r="L109" s="66">
        <f>MAX(M$69:M109)</f>
        <v>0.6112014272885082</v>
      </c>
      <c r="M109">
        <f t="shared" si="26"/>
        <v>0.6112014272885082</v>
      </c>
      <c r="N109">
        <f t="shared" si="20"/>
        <v>0</v>
      </c>
    </row>
    <row r="110" spans="1:14" ht="13.5">
      <c r="A110">
        <v>41</v>
      </c>
      <c r="B110">
        <f t="shared" si="17"/>
        <v>7.542438871228123E-06</v>
      </c>
      <c r="C110">
        <f>SUM(B$69:B109)</f>
        <v>3.999969830244514</v>
      </c>
      <c r="D110">
        <f t="shared" si="21"/>
        <v>3.999969830244514</v>
      </c>
      <c r="E110">
        <f t="shared" si="22"/>
        <v>6.142059387470101E-06</v>
      </c>
      <c r="F110">
        <f>SUM(E$69:E109)</f>
        <v>2.444789305160596</v>
      </c>
      <c r="G110">
        <f t="shared" si="18"/>
        <v>35.644999999999996</v>
      </c>
      <c r="H110">
        <f t="shared" si="23"/>
        <v>7.355000000000004</v>
      </c>
      <c r="I110">
        <f t="shared" si="24"/>
        <v>34.644999999999996</v>
      </c>
      <c r="J110">
        <f t="shared" si="25"/>
        <v>0.8289534883720929</v>
      </c>
      <c r="K110">
        <f t="shared" si="19"/>
        <v>0.8143333333333332</v>
      </c>
      <c r="L110" s="66">
        <f>MAX(M$69:M110)</f>
        <v>0.6112019362433913</v>
      </c>
      <c r="M110">
        <f t="shared" si="26"/>
        <v>0.6112019362433913</v>
      </c>
      <c r="N110">
        <f t="shared" si="20"/>
        <v>0</v>
      </c>
    </row>
    <row r="111" spans="1:14" ht="13.5">
      <c r="A111">
        <v>42</v>
      </c>
      <c r="B111">
        <f t="shared" si="17"/>
        <v>5.656829153421092E-06</v>
      </c>
      <c r="C111">
        <f>SUM(B$69:B110)</f>
        <v>3.9999773726833854</v>
      </c>
      <c r="D111">
        <f t="shared" si="21"/>
        <v>3.9999773726833854</v>
      </c>
      <c r="E111">
        <f t="shared" si="22"/>
        <v>4.61031576003819E-06</v>
      </c>
      <c r="F111">
        <f>SUM(E$69:E110)</f>
        <v>2.4447954472199833</v>
      </c>
      <c r="G111">
        <f t="shared" si="18"/>
        <v>36.49</v>
      </c>
      <c r="H111">
        <f t="shared" si="23"/>
        <v>7.509999999999998</v>
      </c>
      <c r="I111">
        <f t="shared" si="24"/>
        <v>35.49</v>
      </c>
      <c r="J111">
        <f t="shared" si="25"/>
        <v>0.8293181818181818</v>
      </c>
      <c r="K111">
        <f t="shared" si="19"/>
        <v>0.8150000000000001</v>
      </c>
      <c r="L111" s="66">
        <f>MAX(M$69:M111)</f>
        <v>0.6112023192720942</v>
      </c>
      <c r="M111">
        <f t="shared" si="26"/>
        <v>0.6112023192720942</v>
      </c>
      <c r="N111">
        <f t="shared" si="20"/>
        <v>0</v>
      </c>
    </row>
    <row r="112" spans="1:14" ht="13.5">
      <c r="A112">
        <v>43</v>
      </c>
      <c r="B112">
        <f t="shared" si="17"/>
        <v>4.2426218650658185E-06</v>
      </c>
      <c r="C112">
        <f>SUM(B$69:B111)</f>
        <v>3.999983029512539</v>
      </c>
      <c r="D112">
        <f t="shared" si="21"/>
        <v>3.999983029512539</v>
      </c>
      <c r="E112">
        <f t="shared" si="22"/>
        <v>3.4604448765382586E-06</v>
      </c>
      <c r="F112">
        <f>SUM(E$69:E111)</f>
        <v>2.444800057535743</v>
      </c>
      <c r="G112">
        <f t="shared" si="18"/>
        <v>37.335</v>
      </c>
      <c r="H112">
        <f t="shared" si="23"/>
        <v>7.664999999999999</v>
      </c>
      <c r="I112">
        <f t="shared" si="24"/>
        <v>36.335</v>
      </c>
      <c r="J112">
        <f t="shared" si="25"/>
        <v>0.8296666666666667</v>
      </c>
      <c r="K112">
        <f t="shared" si="19"/>
        <v>0.8156382978723404</v>
      </c>
      <c r="L112" s="66">
        <f>MAX(M$69:M112)</f>
        <v>0.6112026074854824</v>
      </c>
      <c r="M112">
        <f t="shared" si="26"/>
        <v>0.6112026074854824</v>
      </c>
      <c r="N112">
        <f t="shared" si="20"/>
        <v>0</v>
      </c>
    </row>
    <row r="113" spans="1:14" ht="13.5">
      <c r="A113">
        <v>44</v>
      </c>
      <c r="B113">
        <f t="shared" si="17"/>
        <v>3.181966398799364E-06</v>
      </c>
      <c r="C113">
        <f>SUM(B$69:B112)</f>
        <v>3.999987272134404</v>
      </c>
      <c r="D113">
        <f t="shared" si="21"/>
        <v>3.999987272134404</v>
      </c>
      <c r="E113">
        <f t="shared" si="22"/>
        <v>2.5972800730199812E-06</v>
      </c>
      <c r="F113">
        <f>SUM(E$69:E112)</f>
        <v>2.4448035179806196</v>
      </c>
      <c r="G113">
        <f t="shared" si="18"/>
        <v>38.18</v>
      </c>
      <c r="H113">
        <f t="shared" si="23"/>
        <v>7.82</v>
      </c>
      <c r="I113">
        <f t="shared" si="24"/>
        <v>37.18</v>
      </c>
      <c r="J113">
        <f t="shared" si="25"/>
        <v>0.83</v>
      </c>
      <c r="K113">
        <f t="shared" si="19"/>
        <v>0.81625</v>
      </c>
      <c r="L113" s="66">
        <f>MAX(M$69:M113)</f>
        <v>0.6112028243220049</v>
      </c>
      <c r="M113">
        <f t="shared" si="26"/>
        <v>0.6112028243220049</v>
      </c>
      <c r="N113">
        <f t="shared" si="20"/>
        <v>0</v>
      </c>
    </row>
    <row r="114" spans="1:14" ht="13.5">
      <c r="A114">
        <v>45</v>
      </c>
      <c r="B114">
        <f t="shared" si="17"/>
        <v>2.386474799099523E-06</v>
      </c>
      <c r="C114">
        <f>SUM(B$69:B113)</f>
        <v>3.9999904541008027</v>
      </c>
      <c r="D114">
        <f t="shared" si="21"/>
        <v>3.9999904541008027</v>
      </c>
      <c r="E114">
        <f t="shared" si="22"/>
        <v>1.9493602823256817E-06</v>
      </c>
      <c r="F114">
        <f>SUM(E$69:E113)</f>
        <v>2.444806115260693</v>
      </c>
      <c r="G114">
        <f t="shared" si="18"/>
        <v>39.025</v>
      </c>
      <c r="H114">
        <f t="shared" si="23"/>
        <v>7.975000000000001</v>
      </c>
      <c r="I114">
        <f t="shared" si="24"/>
        <v>38.025</v>
      </c>
      <c r="J114">
        <f t="shared" si="25"/>
        <v>0.8303191489361702</v>
      </c>
      <c r="K114">
        <f t="shared" si="19"/>
        <v>0.8168367346938775</v>
      </c>
      <c r="L114" s="66">
        <f>MAX(M$69:M114)</f>
        <v>0.6112029874357</v>
      </c>
      <c r="M114">
        <f t="shared" si="26"/>
        <v>0.6112029874357</v>
      </c>
      <c r="N114">
        <f t="shared" si="20"/>
        <v>0</v>
      </c>
    </row>
    <row r="115" spans="1:14" ht="13.5">
      <c r="A115">
        <v>46</v>
      </c>
      <c r="B115">
        <f t="shared" si="17"/>
        <v>1.7898560993246424E-06</v>
      </c>
      <c r="C115">
        <f>SUM(B$69:B114)</f>
        <v>3.999992840575602</v>
      </c>
      <c r="D115">
        <f t="shared" si="21"/>
        <v>3.999992840575602</v>
      </c>
      <c r="E115">
        <f t="shared" si="22"/>
        <v>1.4630283755879625E-06</v>
      </c>
      <c r="F115">
        <f>SUM(E$69:E114)</f>
        <v>2.4448080646209753</v>
      </c>
      <c r="G115">
        <f t="shared" si="18"/>
        <v>39.87</v>
      </c>
      <c r="H115">
        <f t="shared" si="23"/>
        <v>8.130000000000003</v>
      </c>
      <c r="I115">
        <f t="shared" si="24"/>
        <v>38.87</v>
      </c>
      <c r="J115">
        <f t="shared" si="25"/>
        <v>0.830625</v>
      </c>
      <c r="K115">
        <f t="shared" si="19"/>
        <v>0.8173999999999999</v>
      </c>
      <c r="L115" s="66">
        <f>MAX(M$69:M115)</f>
        <v>0.6112031101208586</v>
      </c>
      <c r="M115">
        <f t="shared" si="26"/>
        <v>0.6112031101208586</v>
      </c>
      <c r="N115">
        <f t="shared" si="20"/>
        <v>0</v>
      </c>
    </row>
    <row r="116" spans="1:14" ht="13.5">
      <c r="A116">
        <v>47</v>
      </c>
      <c r="B116">
        <f t="shared" si="17"/>
        <v>1.3423920744934817E-06</v>
      </c>
      <c r="C116">
        <f>SUM(B$69:B115)</f>
        <v>3.999994630431701</v>
      </c>
      <c r="D116">
        <f t="shared" si="21"/>
        <v>3.999994630431701</v>
      </c>
      <c r="E116">
        <f t="shared" si="22"/>
        <v>1.097997752695992E-06</v>
      </c>
      <c r="F116">
        <f>SUM(E$69:E115)</f>
        <v>2.444809527649351</v>
      </c>
      <c r="G116">
        <f t="shared" si="18"/>
        <v>40.714999999999996</v>
      </c>
      <c r="H116">
        <f t="shared" si="23"/>
        <v>8.285000000000004</v>
      </c>
      <c r="I116">
        <f t="shared" si="24"/>
        <v>39.714999999999996</v>
      </c>
      <c r="J116">
        <f t="shared" si="25"/>
        <v>0.8309183673469387</v>
      </c>
      <c r="K116">
        <f t="shared" si="19"/>
        <v>0.8179411764705882</v>
      </c>
      <c r="L116" s="66">
        <f>MAX(M$69:M116)</f>
        <v>0.6112032023866727</v>
      </c>
      <c r="M116">
        <f t="shared" si="26"/>
        <v>0.6112032023866727</v>
      </c>
      <c r="N116">
        <f t="shared" si="20"/>
        <v>0</v>
      </c>
    </row>
    <row r="117" spans="1:14" ht="13.5">
      <c r="A117">
        <v>48</v>
      </c>
      <c r="B117">
        <f t="shared" si="17"/>
        <v>1.0067940558701114E-06</v>
      </c>
      <c r="C117">
        <f>SUM(B$69:B116)</f>
        <v>3.9999959728237755</v>
      </c>
      <c r="D117">
        <f t="shared" si="21"/>
        <v>3.9999959728237755</v>
      </c>
      <c r="E117">
        <f t="shared" si="22"/>
        <v>8.240222118813835E-07</v>
      </c>
      <c r="F117">
        <f>SUM(E$69:E116)</f>
        <v>2.444810625647104</v>
      </c>
      <c r="G117">
        <f t="shared" si="18"/>
        <v>41.56</v>
      </c>
      <c r="H117">
        <f t="shared" si="23"/>
        <v>8.439999999999998</v>
      </c>
      <c r="I117">
        <f t="shared" si="24"/>
        <v>40.56</v>
      </c>
      <c r="J117">
        <f t="shared" si="25"/>
        <v>0.8312</v>
      </c>
      <c r="K117">
        <f t="shared" si="19"/>
        <v>0.8184615384615385</v>
      </c>
      <c r="L117" s="66">
        <f>MAX(M$69:M117)</f>
        <v>0.611203271767597</v>
      </c>
      <c r="M117">
        <f t="shared" si="26"/>
        <v>0.611203271767597</v>
      </c>
      <c r="N117">
        <f t="shared" si="20"/>
        <v>0</v>
      </c>
    </row>
    <row r="118" spans="1:14" ht="13.5">
      <c r="A118">
        <v>49</v>
      </c>
      <c r="B118">
        <f t="shared" si="17"/>
        <v>7.550955419025835E-07</v>
      </c>
      <c r="C118">
        <f>SUM(B$69:B117)</f>
        <v>3.999996979617831</v>
      </c>
      <c r="D118">
        <f t="shared" si="21"/>
        <v>3.999996979617831</v>
      </c>
      <c r="E118">
        <f t="shared" si="22"/>
        <v>6.183947546468234E-07</v>
      </c>
      <c r="F118">
        <f>SUM(E$69:E117)</f>
        <v>2.4448114496693156</v>
      </c>
      <c r="G118">
        <f t="shared" si="18"/>
        <v>42.405</v>
      </c>
      <c r="H118">
        <f t="shared" si="23"/>
        <v>8.594999999999999</v>
      </c>
      <c r="I118">
        <f t="shared" si="24"/>
        <v>41.405</v>
      </c>
      <c r="J118">
        <f t="shared" si="25"/>
        <v>0.8314705882352942</v>
      </c>
      <c r="K118">
        <f t="shared" si="19"/>
        <v>0.8189622641509434</v>
      </c>
      <c r="L118" s="66">
        <f>MAX(M$69:M118)</f>
        <v>0.6112033239342342</v>
      </c>
      <c r="M118">
        <f t="shared" si="26"/>
        <v>0.6112033239342342</v>
      </c>
      <c r="N118">
        <f t="shared" si="20"/>
        <v>0</v>
      </c>
    </row>
    <row r="119" spans="1:14" ht="13.5">
      <c r="A119">
        <v>50</v>
      </c>
      <c r="B119">
        <f t="shared" si="17"/>
        <v>5.663216564269376E-07</v>
      </c>
      <c r="C119">
        <f>SUM(B$69:B118)</f>
        <v>3.9999977347133733</v>
      </c>
      <c r="D119">
        <f t="shared" si="21"/>
        <v>3.9999977347133733</v>
      </c>
      <c r="E119">
        <f t="shared" si="22"/>
        <v>4.6406913512762943E-07</v>
      </c>
      <c r="F119">
        <f>SUM(E$69:E118)</f>
        <v>2.44481206806407</v>
      </c>
      <c r="G119">
        <f t="shared" si="18"/>
        <v>43.25</v>
      </c>
      <c r="H119">
        <f t="shared" si="23"/>
        <v>8.75</v>
      </c>
      <c r="I119">
        <f t="shared" si="24"/>
        <v>42.25</v>
      </c>
      <c r="J119">
        <f t="shared" si="25"/>
        <v>0.8317307692307693</v>
      </c>
      <c r="K119">
        <f t="shared" si="19"/>
        <v>0.8194444444444444</v>
      </c>
      <c r="L119" s="66">
        <f>MAX(M$69:M119)</f>
        <v>0.6112033631537187</v>
      </c>
      <c r="M119">
        <f t="shared" si="26"/>
        <v>0.6112033631537187</v>
      </c>
      <c r="N119">
        <f t="shared" si="20"/>
        <v>0</v>
      </c>
    </row>
    <row r="120" spans="1:14" ht="13.5">
      <c r="A120">
        <v>51</v>
      </c>
      <c r="B120">
        <f t="shared" si="17"/>
        <v>4.247412423202032E-07</v>
      </c>
      <c r="C120">
        <f>SUM(B$69:B119)</f>
        <v>3.9999983010350295</v>
      </c>
      <c r="D120">
        <f t="shared" si="21"/>
        <v>3.9999983010350295</v>
      </c>
      <c r="E120">
        <f t="shared" si="22"/>
        <v>3.482492058623557E-07</v>
      </c>
      <c r="F120">
        <f>SUM(E$69:E119)</f>
        <v>2.4448125321332053</v>
      </c>
      <c r="G120">
        <f t="shared" si="18"/>
        <v>44.095</v>
      </c>
      <c r="H120">
        <f t="shared" si="23"/>
        <v>8.905000000000001</v>
      </c>
      <c r="I120">
        <f t="shared" si="24"/>
        <v>43.095</v>
      </c>
      <c r="J120">
        <f t="shared" si="25"/>
        <v>0.8319811320754716</v>
      </c>
      <c r="K120">
        <f t="shared" si="19"/>
        <v>0.8199090909090909</v>
      </c>
      <c r="L120" s="66">
        <f>MAX(M$69:M120)</f>
        <v>0.6112033926365898</v>
      </c>
      <c r="M120">
        <f t="shared" si="26"/>
        <v>0.6112033926365898</v>
      </c>
      <c r="N120">
        <f t="shared" si="20"/>
        <v>0</v>
      </c>
    </row>
    <row r="121" spans="1:14" ht="13.5">
      <c r="A121">
        <v>52</v>
      </c>
      <c r="B121">
        <f t="shared" si="17"/>
        <v>3.185559317401524E-07</v>
      </c>
      <c r="C121">
        <f>SUM(B$69:B120)</f>
        <v>3.9999987257762717</v>
      </c>
      <c r="D121">
        <f t="shared" si="21"/>
        <v>3.9999987257762717</v>
      </c>
      <c r="E121">
        <f t="shared" si="22"/>
        <v>2.613296340025464E-07</v>
      </c>
      <c r="F121">
        <f>SUM(E$69:E120)</f>
        <v>2.444812880382411</v>
      </c>
      <c r="G121">
        <f t="shared" si="18"/>
        <v>44.94</v>
      </c>
      <c r="H121">
        <f t="shared" si="23"/>
        <v>9.060000000000002</v>
      </c>
      <c r="I121">
        <f t="shared" si="24"/>
        <v>43.94</v>
      </c>
      <c r="J121">
        <f t="shared" si="25"/>
        <v>0.8322222222222222</v>
      </c>
      <c r="K121">
        <f t="shared" si="19"/>
        <v>0.8203571428571428</v>
      </c>
      <c r="L121" s="66">
        <f>MAX(M$69:M121)</f>
        <v>0.6112034147980763</v>
      </c>
      <c r="M121">
        <f t="shared" si="26"/>
        <v>0.6112034147980763</v>
      </c>
      <c r="N121">
        <f t="shared" si="20"/>
        <v>0</v>
      </c>
    </row>
    <row r="122" spans="1:14" ht="13.5">
      <c r="A122">
        <v>53</v>
      </c>
      <c r="B122">
        <f t="shared" si="17"/>
        <v>2.389169488051143E-07</v>
      </c>
      <c r="C122">
        <f>SUM(B$69:B121)</f>
        <v>3.9999990443322035</v>
      </c>
      <c r="D122">
        <f t="shared" si="21"/>
        <v>3.9999990443322035</v>
      </c>
      <c r="E122">
        <f t="shared" si="22"/>
        <v>1.9610051666398723E-07</v>
      </c>
      <c r="F122">
        <f>SUM(E$69:E121)</f>
        <v>2.444813141712045</v>
      </c>
      <c r="G122">
        <f t="shared" si="18"/>
        <v>45.785</v>
      </c>
      <c r="H122">
        <f t="shared" si="23"/>
        <v>9.215000000000003</v>
      </c>
      <c r="I122">
        <f t="shared" si="24"/>
        <v>44.785</v>
      </c>
      <c r="J122">
        <f t="shared" si="25"/>
        <v>0.8324545454545454</v>
      </c>
      <c r="K122">
        <f t="shared" si="19"/>
        <v>0.8207894736842105</v>
      </c>
      <c r="L122" s="66">
        <f>MAX(M$69:M122)</f>
        <v>0.6112034314548704</v>
      </c>
      <c r="M122">
        <f t="shared" si="26"/>
        <v>0.6112034314548704</v>
      </c>
      <c r="N122">
        <f t="shared" si="20"/>
        <v>0</v>
      </c>
    </row>
    <row r="123" spans="1:14" ht="13.5">
      <c r="A123">
        <v>54</v>
      </c>
      <c r="B123">
        <f t="shared" si="17"/>
        <v>1.7918771160383575E-07</v>
      </c>
      <c r="C123">
        <f>SUM(B$69:B122)</f>
        <v>3.9999992832491524</v>
      </c>
      <c r="D123">
        <f t="shared" si="21"/>
        <v>3.9999992832491524</v>
      </c>
      <c r="E123">
        <f t="shared" si="22"/>
        <v>1.471501845463913E-07</v>
      </c>
      <c r="F123">
        <f>SUM(E$69:E122)</f>
        <v>2.444813337812562</v>
      </c>
      <c r="G123">
        <f t="shared" si="18"/>
        <v>46.629999999999995</v>
      </c>
      <c r="H123">
        <f t="shared" si="23"/>
        <v>9.370000000000005</v>
      </c>
      <c r="I123">
        <f t="shared" si="24"/>
        <v>45.629999999999995</v>
      </c>
      <c r="J123">
        <f t="shared" si="25"/>
        <v>0.8326785714285714</v>
      </c>
      <c r="K123">
        <f t="shared" si="19"/>
        <v>0.8212068965517241</v>
      </c>
      <c r="L123" s="66">
        <f>MAX(M$69:M123)</f>
        <v>0.6112034439732871</v>
      </c>
      <c r="M123">
        <f t="shared" si="26"/>
        <v>0.6112034439732871</v>
      </c>
      <c r="N123">
        <f t="shared" si="20"/>
        <v>0</v>
      </c>
    </row>
    <row r="124" spans="1:14" ht="13.5">
      <c r="A124">
        <v>55</v>
      </c>
      <c r="B124">
        <f t="shared" si="17"/>
        <v>1.343907837028768E-07</v>
      </c>
      <c r="C124">
        <f>SUM(B$69:B123)</f>
        <v>3.999999462436864</v>
      </c>
      <c r="D124">
        <f t="shared" si="21"/>
        <v>3.999999462436864</v>
      </c>
      <c r="E124">
        <f t="shared" si="22"/>
        <v>1.1041683457621953E-07</v>
      </c>
      <c r="F124">
        <f>SUM(E$69:E123)</f>
        <v>2.4448134849627463</v>
      </c>
      <c r="G124">
        <f t="shared" si="18"/>
        <v>47.475</v>
      </c>
      <c r="H124">
        <f t="shared" si="23"/>
        <v>9.524999999999999</v>
      </c>
      <c r="I124">
        <f t="shared" si="24"/>
        <v>46.475</v>
      </c>
      <c r="J124">
        <f t="shared" si="25"/>
        <v>0.8328947368421052</v>
      </c>
      <c r="K124">
        <f t="shared" si="19"/>
        <v>0.8216101694915254</v>
      </c>
      <c r="L124" s="66">
        <f>MAX(M$69:M124)</f>
        <v>0.6112034533807978</v>
      </c>
      <c r="M124">
        <f t="shared" si="26"/>
        <v>0.6112034533807978</v>
      </c>
      <c r="N124">
        <f t="shared" si="20"/>
        <v>0</v>
      </c>
    </row>
    <row r="125" spans="1:14" ht="13.5">
      <c r="A125">
        <v>56</v>
      </c>
      <c r="B125">
        <f t="shared" si="17"/>
        <v>1.007930877771576E-07</v>
      </c>
      <c r="C125">
        <f>SUM(B$69:B124)</f>
        <v>3.999999596827648</v>
      </c>
      <c r="D125">
        <f t="shared" si="21"/>
        <v>3.999999596827648</v>
      </c>
      <c r="E125">
        <f t="shared" si="22"/>
        <v>8.285191815282355E-08</v>
      </c>
      <c r="F125">
        <f>SUM(E$69:E124)</f>
        <v>2.444813595379581</v>
      </c>
      <c r="G125">
        <f t="shared" si="18"/>
        <v>48.32</v>
      </c>
      <c r="H125">
        <f t="shared" si="23"/>
        <v>9.68</v>
      </c>
      <c r="I125">
        <f t="shared" si="24"/>
        <v>47.32</v>
      </c>
      <c r="J125">
        <f t="shared" si="25"/>
        <v>0.833103448275862</v>
      </c>
      <c r="K125">
        <f t="shared" si="19"/>
        <v>0.822</v>
      </c>
      <c r="L125" s="66">
        <f>MAX(M$69:M125)</f>
        <v>0.6112034604499794</v>
      </c>
      <c r="M125">
        <f t="shared" si="26"/>
        <v>0.6112034604499794</v>
      </c>
      <c r="N125">
        <f t="shared" si="20"/>
        <v>0</v>
      </c>
    </row>
    <row r="126" spans="1:14" ht="13.5">
      <c r="A126">
        <v>57</v>
      </c>
      <c r="B126">
        <f t="shared" si="17"/>
        <v>7.55948158328682E-08</v>
      </c>
      <c r="C126">
        <f>SUM(B$69:B125)</f>
        <v>3.9999996976207357</v>
      </c>
      <c r="D126">
        <f t="shared" si="21"/>
        <v>3.9999996976207357</v>
      </c>
      <c r="E126">
        <f t="shared" si="22"/>
        <v>6.216744157796448E-08</v>
      </c>
      <c r="F126">
        <f>SUM(E$69:E125)</f>
        <v>2.4448136782314993</v>
      </c>
      <c r="G126">
        <f t="shared" si="18"/>
        <v>49.165</v>
      </c>
      <c r="H126">
        <f t="shared" si="23"/>
        <v>9.835</v>
      </c>
      <c r="I126">
        <f t="shared" si="24"/>
        <v>48.165</v>
      </c>
      <c r="J126">
        <f t="shared" si="25"/>
        <v>0.8333050847457627</v>
      </c>
      <c r="K126">
        <f t="shared" si="19"/>
        <v>0.8223770491803278</v>
      </c>
      <c r="L126" s="66">
        <f>MAX(M$69:M126)</f>
        <v>0.6112034657616884</v>
      </c>
      <c r="M126">
        <f t="shared" si="26"/>
        <v>0.6112034657616884</v>
      </c>
      <c r="N126">
        <f t="shared" si="20"/>
        <v>0</v>
      </c>
    </row>
    <row r="127" spans="1:14" ht="13.5">
      <c r="A127">
        <v>58</v>
      </c>
      <c r="B127">
        <f t="shared" si="17"/>
        <v>5.669611187465115E-08</v>
      </c>
      <c r="C127">
        <f>SUM(B$69:B126)</f>
        <v>3.9999997732155514</v>
      </c>
      <c r="D127">
        <f t="shared" si="21"/>
        <v>3.9999997732155514</v>
      </c>
      <c r="E127">
        <f t="shared" si="22"/>
        <v>4.664626881816057E-08</v>
      </c>
      <c r="F127">
        <f>SUM(E$69:E126)</f>
        <v>2.4448137403989407</v>
      </c>
      <c r="G127">
        <f t="shared" si="18"/>
        <v>50.01</v>
      </c>
      <c r="H127">
        <f t="shared" si="23"/>
        <v>9.990000000000002</v>
      </c>
      <c r="I127">
        <f t="shared" si="24"/>
        <v>49.01</v>
      </c>
      <c r="J127">
        <f t="shared" si="25"/>
        <v>0.8335</v>
      </c>
      <c r="K127">
        <f t="shared" si="19"/>
        <v>0.822741935483871</v>
      </c>
      <c r="L127" s="66">
        <f>MAX(M$69:M127)</f>
        <v>0.6112034697525957</v>
      </c>
      <c r="M127">
        <f t="shared" si="26"/>
        <v>0.6112034697525957</v>
      </c>
      <c r="N127">
        <f t="shared" si="20"/>
        <v>0</v>
      </c>
    </row>
    <row r="128" spans="1:14" ht="13.5">
      <c r="A128">
        <v>59</v>
      </c>
      <c r="B128">
        <f t="shared" si="17"/>
        <v>4.2522083905988365E-08</v>
      </c>
      <c r="C128">
        <f>SUM(B$69:B127)</f>
        <v>3.9999998299116633</v>
      </c>
      <c r="D128">
        <f t="shared" si="21"/>
        <v>3.9999998299116633</v>
      </c>
      <c r="E128">
        <f t="shared" si="22"/>
        <v>3.499972477690518E-08</v>
      </c>
      <c r="F128">
        <f>SUM(E$69:E127)</f>
        <v>2.4448137870452094</v>
      </c>
      <c r="G128">
        <f t="shared" si="18"/>
        <v>50.855</v>
      </c>
      <c r="H128">
        <f t="shared" si="23"/>
        <v>10.145000000000003</v>
      </c>
      <c r="I128">
        <f t="shared" si="24"/>
        <v>49.855</v>
      </c>
      <c r="J128">
        <f t="shared" si="25"/>
        <v>0.8336885245901638</v>
      </c>
      <c r="K128">
        <f t="shared" si="19"/>
        <v>0.823095238095238</v>
      </c>
      <c r="L128" s="66">
        <f>MAX(M$69:M128)</f>
        <v>0.6112034727509479</v>
      </c>
      <c r="M128">
        <f t="shared" si="26"/>
        <v>0.6112034727509479</v>
      </c>
      <c r="N128">
        <f t="shared" si="20"/>
        <v>0</v>
      </c>
    </row>
    <row r="129" spans="1:14" ht="13.5">
      <c r="A129">
        <v>60</v>
      </c>
      <c r="B129">
        <f t="shared" si="17"/>
        <v>3.189156292949127E-08</v>
      </c>
      <c r="C129">
        <f>SUM(B$69:B128)</f>
        <v>3.9999998724337473</v>
      </c>
      <c r="D129">
        <f t="shared" si="21"/>
        <v>3.9999998724337473</v>
      </c>
      <c r="E129">
        <f t="shared" si="22"/>
        <v>2.6260708849752968E-08</v>
      </c>
      <c r="F129">
        <f>SUM(E$69:E128)</f>
        <v>2.4448138220449342</v>
      </c>
      <c r="G129">
        <f t="shared" si="18"/>
        <v>51.699999999999996</v>
      </c>
      <c r="H129">
        <f t="shared" si="23"/>
        <v>10.300000000000004</v>
      </c>
      <c r="I129">
        <f t="shared" si="24"/>
        <v>50.699999999999996</v>
      </c>
      <c r="J129">
        <f t="shared" si="25"/>
        <v>0.8338709677419354</v>
      </c>
      <c r="K129">
        <f t="shared" si="19"/>
        <v>0.8234374999999999</v>
      </c>
      <c r="L129" s="66">
        <f>MAX(M$69:M129)</f>
        <v>0.6112034750034678</v>
      </c>
      <c r="M129">
        <f t="shared" si="26"/>
        <v>0.6112034750034678</v>
      </c>
      <c r="N129">
        <f t="shared" si="20"/>
        <v>0</v>
      </c>
    </row>
    <row r="130" spans="1:14" ht="13.5">
      <c r="A130">
        <v>61</v>
      </c>
      <c r="B130">
        <f t="shared" si="17"/>
        <v>2.3918672197118452E-08</v>
      </c>
      <c r="C130">
        <f>SUM(B$69:B129)</f>
        <v>3.99999990432531</v>
      </c>
      <c r="D130">
        <f t="shared" si="21"/>
        <v>3.99999990432531</v>
      </c>
      <c r="E130">
        <f t="shared" si="22"/>
        <v>1.9703466196841657E-08</v>
      </c>
      <c r="F130">
        <f>SUM(E$69:E129)</f>
        <v>2.444813848305643</v>
      </c>
      <c r="G130">
        <f t="shared" si="18"/>
        <v>52.545</v>
      </c>
      <c r="H130">
        <f t="shared" si="23"/>
        <v>10.454999999999998</v>
      </c>
      <c r="I130">
        <f t="shared" si="24"/>
        <v>51.545</v>
      </c>
      <c r="J130">
        <f t="shared" si="25"/>
        <v>0.834047619047619</v>
      </c>
      <c r="K130">
        <f t="shared" si="19"/>
        <v>0.8237692307692308</v>
      </c>
      <c r="L130" s="66">
        <f>MAX(M$69:M130)</f>
        <v>0.6112034766955865</v>
      </c>
      <c r="M130">
        <f t="shared" si="26"/>
        <v>0.6112034766955865</v>
      </c>
      <c r="N130">
        <f t="shared" si="20"/>
        <v>0</v>
      </c>
    </row>
    <row r="131" spans="1:14" ht="13.5">
      <c r="A131">
        <v>62</v>
      </c>
      <c r="B131">
        <f t="shared" si="17"/>
        <v>1.793900414783884E-08</v>
      </c>
      <c r="C131">
        <f>SUM(B$69:B130)</f>
        <v>3.9999999282439824</v>
      </c>
      <c r="D131">
        <f t="shared" si="21"/>
        <v>3.9999999282439824</v>
      </c>
      <c r="E131">
        <f t="shared" si="22"/>
        <v>1.47833702363781E-08</v>
      </c>
      <c r="F131">
        <f>SUM(E$69:E130)</f>
        <v>2.4448138680091094</v>
      </c>
      <c r="G131">
        <f t="shared" si="18"/>
        <v>53.39</v>
      </c>
      <c r="H131">
        <f t="shared" si="23"/>
        <v>10.61</v>
      </c>
      <c r="I131">
        <f t="shared" si="24"/>
        <v>52.39</v>
      </c>
      <c r="J131">
        <f t="shared" si="25"/>
        <v>0.83421875</v>
      </c>
      <c r="K131">
        <f t="shared" si="19"/>
        <v>0.8240909090909091</v>
      </c>
      <c r="L131" s="66">
        <f>MAX(M$69:M131)</f>
        <v>0.6112034779666592</v>
      </c>
      <c r="M131">
        <f t="shared" si="26"/>
        <v>0.6112034779666592</v>
      </c>
      <c r="N131">
        <f t="shared" si="20"/>
        <v>0</v>
      </c>
    </row>
    <row r="132" spans="1:14" ht="13.5">
      <c r="A132">
        <v>63</v>
      </c>
      <c r="B132">
        <f t="shared" si="17"/>
        <v>1.345425311087913E-08</v>
      </c>
      <c r="C132">
        <f>SUM(B$69:B131)</f>
        <v>3.9999999461829865</v>
      </c>
      <c r="D132">
        <f t="shared" si="21"/>
        <v>3.9999999461829865</v>
      </c>
      <c r="E132">
        <f t="shared" si="22"/>
        <v>1.1091726426558339E-08</v>
      </c>
      <c r="F132">
        <f>SUM(E$69:E131)</f>
        <v>2.4448138827924795</v>
      </c>
      <c r="G132">
        <f t="shared" si="18"/>
        <v>54.235</v>
      </c>
      <c r="H132">
        <f t="shared" si="23"/>
        <v>10.765</v>
      </c>
      <c r="I132">
        <f t="shared" si="24"/>
        <v>53.235</v>
      </c>
      <c r="J132">
        <f t="shared" si="25"/>
        <v>0.8343846153846154</v>
      </c>
      <c r="K132">
        <f t="shared" si="19"/>
        <v>0.8244029850746268</v>
      </c>
      <c r="L132" s="66">
        <f>MAX(M$69:M132)</f>
        <v>0.6112034789214064</v>
      </c>
      <c r="M132">
        <f t="shared" si="26"/>
        <v>0.6112034789214064</v>
      </c>
      <c r="N132">
        <f t="shared" si="20"/>
        <v>0</v>
      </c>
    </row>
    <row r="133" spans="1:14" ht="13.5">
      <c r="A133">
        <v>64</v>
      </c>
      <c r="B133">
        <f t="shared" si="17"/>
        <v>1.0090689833159348E-08</v>
      </c>
      <c r="C133">
        <f>SUM(B$69:B132)</f>
        <v>3.9999999596372398</v>
      </c>
      <c r="D133">
        <f t="shared" si="21"/>
        <v>3.9999999596372398</v>
      </c>
      <c r="E133">
        <f aca="true" t="shared" si="27" ref="E133:E164">K133*B133</f>
        <v>8.321851262405532E-09</v>
      </c>
      <c r="F133">
        <f>SUM(E$69:E132)</f>
        <v>2.444813893884206</v>
      </c>
      <c r="G133">
        <f t="shared" si="18"/>
        <v>55.08</v>
      </c>
      <c r="H133">
        <f aca="true" t="shared" si="28" ref="H133:H164">($H$67+A133-I133)</f>
        <v>10.920000000000002</v>
      </c>
      <c r="I133">
        <f aca="true" t="shared" si="29" ref="I133:I164">A133*$I$67</f>
        <v>54.08</v>
      </c>
      <c r="J133">
        <f aca="true" t="shared" si="30" ref="J133:J164">($G$67+I133)/(($G$67+I133)+($H$67+A133-I133))</f>
        <v>0.8345454545454545</v>
      </c>
      <c r="K133">
        <f t="shared" si="19"/>
        <v>0.8247058823529412</v>
      </c>
      <c r="L133" s="66">
        <f>MAX(M$69:M133)</f>
        <v>0.6112034796385164</v>
      </c>
      <c r="M133">
        <f aca="true" t="shared" si="31" ref="M133:M164">F133/D133</f>
        <v>0.6112034796385164</v>
      </c>
      <c r="N133">
        <f t="shared" si="20"/>
        <v>0</v>
      </c>
    </row>
    <row r="134" spans="1:14" ht="13.5">
      <c r="A134">
        <v>65</v>
      </c>
      <c r="B134">
        <f aca="true" t="shared" si="32" ref="B134:B197">$B$53^A134</f>
        <v>7.568017374869511E-09</v>
      </c>
      <c r="C134">
        <f>SUM(B$69:B133)</f>
        <v>3.9999999697279294</v>
      </c>
      <c r="D134">
        <f t="shared" si="21"/>
        <v>3.9999999697279294</v>
      </c>
      <c r="E134">
        <f t="shared" si="27"/>
        <v>6.243614334267346E-09</v>
      </c>
      <c r="F134">
        <f>SUM(E$69:E133)</f>
        <v>2.4448139022060573</v>
      </c>
      <c r="G134">
        <f aca="true" t="shared" si="33" ref="G134:G197">$G$67+I134</f>
        <v>55.925</v>
      </c>
      <c r="H134">
        <f t="shared" si="28"/>
        <v>11.075000000000003</v>
      </c>
      <c r="I134">
        <f t="shared" si="29"/>
        <v>54.925</v>
      </c>
      <c r="J134">
        <f t="shared" si="30"/>
        <v>0.8347014925373134</v>
      </c>
      <c r="K134">
        <f aca="true" t="shared" si="34" ref="K134:K197">(G134+1)/(G134+H134+2)</f>
        <v>0.825</v>
      </c>
      <c r="L134" s="66">
        <f>MAX(M$69:M134)</f>
        <v>0.611203480177113</v>
      </c>
      <c r="M134">
        <f t="shared" si="31"/>
        <v>0.611203480177113</v>
      </c>
      <c r="N134">
        <f aca="true" t="shared" si="35" ref="N134:N197">IF(M134=MAX($L$69:$L$226),1,0)</f>
        <v>0</v>
      </c>
    </row>
    <row r="135" spans="1:14" ht="13.5">
      <c r="A135">
        <v>66</v>
      </c>
      <c r="B135">
        <f t="shared" si="32"/>
        <v>5.676013031152133E-09</v>
      </c>
      <c r="C135">
        <f>SUM(B$69:B134)</f>
        <v>3.9999999772959467</v>
      </c>
      <c r="D135">
        <f aca="true" t="shared" si="36" ref="D135:D198">C135</f>
        <v>3.9999999772959467</v>
      </c>
      <c r="E135">
        <f t="shared" si="27"/>
        <v>4.684332468709409E-09</v>
      </c>
      <c r="F135">
        <f>SUM(E$69:E134)</f>
        <v>2.444813908449672</v>
      </c>
      <c r="G135">
        <f t="shared" si="33"/>
        <v>56.769999999999996</v>
      </c>
      <c r="H135">
        <f t="shared" si="28"/>
        <v>11.230000000000004</v>
      </c>
      <c r="I135">
        <f t="shared" si="29"/>
        <v>55.769999999999996</v>
      </c>
      <c r="J135">
        <f t="shared" si="30"/>
        <v>0.8348529411764706</v>
      </c>
      <c r="K135">
        <f t="shared" si="34"/>
        <v>0.8252857142857142</v>
      </c>
      <c r="L135" s="66">
        <f>MAX(M$69:M135)</f>
        <v>0.6112034805816171</v>
      </c>
      <c r="M135">
        <f t="shared" si="31"/>
        <v>0.6112034805816171</v>
      </c>
      <c r="N135">
        <f t="shared" si="35"/>
        <v>0</v>
      </c>
    </row>
    <row r="136" spans="1:14" ht="13.5">
      <c r="A136">
        <v>67</v>
      </c>
      <c r="B136">
        <f t="shared" si="32"/>
        <v>4.2570097733641E-09</v>
      </c>
      <c r="C136">
        <f>SUM(B$69:B135)</f>
        <v>3.9999999829719597</v>
      </c>
      <c r="D136">
        <f t="shared" si="36"/>
        <v>3.9999999829719597</v>
      </c>
      <c r="E136">
        <f t="shared" si="27"/>
        <v>3.5144313783906574E-09</v>
      </c>
      <c r="F136">
        <f>SUM(E$69:E135)</f>
        <v>2.4448139131340043</v>
      </c>
      <c r="G136">
        <f t="shared" si="33"/>
        <v>57.614999999999995</v>
      </c>
      <c r="H136">
        <f t="shared" si="28"/>
        <v>11.385000000000005</v>
      </c>
      <c r="I136">
        <f t="shared" si="29"/>
        <v>56.614999999999995</v>
      </c>
      <c r="J136">
        <f t="shared" si="30"/>
        <v>0.835</v>
      </c>
      <c r="K136">
        <f t="shared" si="34"/>
        <v>0.8255633802816901</v>
      </c>
      <c r="L136" s="66">
        <f>MAX(M$69:M136)</f>
        <v>0.6112034808854004</v>
      </c>
      <c r="M136">
        <f t="shared" si="31"/>
        <v>0.6112034808854004</v>
      </c>
      <c r="N136">
        <f t="shared" si="35"/>
        <v>0</v>
      </c>
    </row>
    <row r="137" spans="1:14" ht="13.5">
      <c r="A137">
        <v>68</v>
      </c>
      <c r="B137">
        <f t="shared" si="32"/>
        <v>3.192757330023075E-09</v>
      </c>
      <c r="C137">
        <f>SUM(B$69:B136)</f>
        <v>3.9999999872289695</v>
      </c>
      <c r="D137">
        <f t="shared" si="36"/>
        <v>3.9999999872289695</v>
      </c>
      <c r="E137">
        <f t="shared" si="27"/>
        <v>2.6366854283773893E-09</v>
      </c>
      <c r="F137">
        <f>SUM(E$69:E136)</f>
        <v>2.4448139166484357</v>
      </c>
      <c r="G137">
        <f t="shared" si="33"/>
        <v>58.46</v>
      </c>
      <c r="H137">
        <f t="shared" si="28"/>
        <v>11.54</v>
      </c>
      <c r="I137">
        <f t="shared" si="29"/>
        <v>57.46</v>
      </c>
      <c r="J137">
        <f t="shared" si="30"/>
        <v>0.8351428571428572</v>
      </c>
      <c r="K137">
        <f t="shared" si="34"/>
        <v>0.8258333333333333</v>
      </c>
      <c r="L137" s="66">
        <f>MAX(M$69:M137)</f>
        <v>0.6112034811135335</v>
      </c>
      <c r="M137">
        <f t="shared" si="31"/>
        <v>0.6112034811135335</v>
      </c>
      <c r="N137">
        <f t="shared" si="35"/>
        <v>0</v>
      </c>
    </row>
    <row r="138" spans="1:14" ht="13.5">
      <c r="A138">
        <v>69</v>
      </c>
      <c r="B138">
        <f t="shared" si="32"/>
        <v>2.394567997517306E-09</v>
      </c>
      <c r="C138">
        <f>SUM(B$69:B137)</f>
        <v>3.9999999904217267</v>
      </c>
      <c r="D138">
        <f t="shared" si="36"/>
        <v>3.9999999904217267</v>
      </c>
      <c r="E138">
        <f t="shared" si="27"/>
        <v>1.9781427820586457E-09</v>
      </c>
      <c r="F138">
        <f>SUM(E$69:E137)</f>
        <v>2.4448139192851213</v>
      </c>
      <c r="G138">
        <f t="shared" si="33"/>
        <v>59.305</v>
      </c>
      <c r="H138">
        <f t="shared" si="28"/>
        <v>11.695</v>
      </c>
      <c r="I138">
        <f t="shared" si="29"/>
        <v>58.305</v>
      </c>
      <c r="J138">
        <f t="shared" si="30"/>
        <v>0.8352816901408451</v>
      </c>
      <c r="K138">
        <f t="shared" si="34"/>
        <v>0.8260958904109589</v>
      </c>
      <c r="L138" s="66">
        <f>MAX(M$69:M138)</f>
        <v>0.6112034812848488</v>
      </c>
      <c r="M138">
        <f t="shared" si="31"/>
        <v>0.6112034812848488</v>
      </c>
      <c r="N138">
        <f t="shared" si="35"/>
        <v>0</v>
      </c>
    </row>
    <row r="139" spans="1:14" ht="13.5">
      <c r="A139">
        <v>70</v>
      </c>
      <c r="B139">
        <f t="shared" si="32"/>
        <v>1.7959259981379796E-09</v>
      </c>
      <c r="C139">
        <f>SUM(B$69:B138)</f>
        <v>3.999999992816295</v>
      </c>
      <c r="D139">
        <f t="shared" si="36"/>
        <v>3.999999992816295</v>
      </c>
      <c r="E139">
        <f t="shared" si="27"/>
        <v>1.4840658754883438E-09</v>
      </c>
      <c r="F139">
        <f>SUM(E$69:E138)</f>
        <v>2.4448139212632642</v>
      </c>
      <c r="G139">
        <f t="shared" si="33"/>
        <v>60.15</v>
      </c>
      <c r="H139">
        <f t="shared" si="28"/>
        <v>11.850000000000001</v>
      </c>
      <c r="I139">
        <f t="shared" si="29"/>
        <v>59.15</v>
      </c>
      <c r="J139">
        <f t="shared" si="30"/>
        <v>0.8354166666666667</v>
      </c>
      <c r="K139">
        <f t="shared" si="34"/>
        <v>0.8263513513513513</v>
      </c>
      <c r="L139" s="66">
        <f>MAX(M$69:M139)</f>
        <v>0.6112034814134925</v>
      </c>
      <c r="M139">
        <f t="shared" si="31"/>
        <v>0.6112034814134925</v>
      </c>
      <c r="N139">
        <f t="shared" si="35"/>
        <v>0</v>
      </c>
    </row>
    <row r="140" spans="1:14" ht="13.5">
      <c r="A140">
        <v>71</v>
      </c>
      <c r="B140">
        <f t="shared" si="32"/>
        <v>1.3469444986034847E-09</v>
      </c>
      <c r="C140">
        <f>SUM(B$69:B139)</f>
        <v>3.999999994612221</v>
      </c>
      <c r="D140">
        <f t="shared" si="36"/>
        <v>3.999999994612221</v>
      </c>
      <c r="E140">
        <f t="shared" si="27"/>
        <v>1.1133843225456404E-09</v>
      </c>
      <c r="F140">
        <f>SUM(E$69:E139)</f>
        <v>2.44481392274733</v>
      </c>
      <c r="G140">
        <f t="shared" si="33"/>
        <v>60.995</v>
      </c>
      <c r="H140">
        <f t="shared" si="28"/>
        <v>12.005000000000003</v>
      </c>
      <c r="I140">
        <f t="shared" si="29"/>
        <v>59.995</v>
      </c>
      <c r="J140">
        <f t="shared" si="30"/>
        <v>0.8355479452054794</v>
      </c>
      <c r="K140">
        <f t="shared" si="34"/>
        <v>0.8266</v>
      </c>
      <c r="L140" s="66">
        <f>MAX(M$69:M140)</f>
        <v>0.6112034815100899</v>
      </c>
      <c r="M140">
        <f t="shared" si="31"/>
        <v>0.6112034815100899</v>
      </c>
      <c r="N140">
        <f t="shared" si="35"/>
        <v>0</v>
      </c>
    </row>
    <row r="141" spans="1:14" ht="13.5">
      <c r="A141">
        <v>72</v>
      </c>
      <c r="B141">
        <f t="shared" si="32"/>
        <v>1.0102083739526134E-09</v>
      </c>
      <c r="C141">
        <f>SUM(B$69:B140)</f>
        <v>3.9999999959591652</v>
      </c>
      <c r="D141">
        <f t="shared" si="36"/>
        <v>3.9999999959591652</v>
      </c>
      <c r="E141">
        <f t="shared" si="27"/>
        <v>8.352828186734503E-10</v>
      </c>
      <c r="F141">
        <f>SUM(E$69:E140)</f>
        <v>2.4448139238607145</v>
      </c>
      <c r="G141">
        <f t="shared" si="33"/>
        <v>61.839999999999996</v>
      </c>
      <c r="H141">
        <f t="shared" si="28"/>
        <v>12.160000000000004</v>
      </c>
      <c r="I141">
        <f t="shared" si="29"/>
        <v>60.839999999999996</v>
      </c>
      <c r="J141">
        <f t="shared" si="30"/>
        <v>0.8356756756756756</v>
      </c>
      <c r="K141">
        <f t="shared" si="34"/>
        <v>0.8268421052631578</v>
      </c>
      <c r="L141" s="66">
        <f>MAX(M$69:M141)</f>
        <v>0.6112034815826217</v>
      </c>
      <c r="M141">
        <f t="shared" si="31"/>
        <v>0.6112034815826217</v>
      </c>
      <c r="N141">
        <f t="shared" si="35"/>
        <v>0</v>
      </c>
    </row>
    <row r="142" spans="1:14" ht="13.5">
      <c r="A142">
        <v>73</v>
      </c>
      <c r="B142">
        <f t="shared" si="32"/>
        <v>7.576562804644602E-10</v>
      </c>
      <c r="C142">
        <f>SUM(B$69:B141)</f>
        <v>3.9999999969693736</v>
      </c>
      <c r="D142">
        <f t="shared" si="36"/>
        <v>3.9999999969693736</v>
      </c>
      <c r="E142">
        <f t="shared" si="27"/>
        <v>6.26640782095833E-10</v>
      </c>
      <c r="F142">
        <f>SUM(E$69:E141)</f>
        <v>2.4448139246959975</v>
      </c>
      <c r="G142">
        <f t="shared" si="33"/>
        <v>62.684999999999995</v>
      </c>
      <c r="H142">
        <f t="shared" si="28"/>
        <v>12.315000000000005</v>
      </c>
      <c r="I142">
        <f t="shared" si="29"/>
        <v>61.684999999999995</v>
      </c>
      <c r="J142">
        <f t="shared" si="30"/>
        <v>0.8358</v>
      </c>
      <c r="K142">
        <f t="shared" si="34"/>
        <v>0.827077922077922</v>
      </c>
      <c r="L142" s="66">
        <f>MAX(M$69:M142)</f>
        <v>0.6112034816370817</v>
      </c>
      <c r="M142">
        <f t="shared" si="31"/>
        <v>0.6112034816370817</v>
      </c>
      <c r="N142">
        <f t="shared" si="35"/>
        <v>0</v>
      </c>
    </row>
    <row r="143" spans="1:14" ht="13.5">
      <c r="A143">
        <v>74</v>
      </c>
      <c r="B143">
        <f t="shared" si="32"/>
        <v>5.682422103483451E-10</v>
      </c>
      <c r="C143">
        <f>SUM(B$69:B142)</f>
        <v>3.9999999977270297</v>
      </c>
      <c r="D143">
        <f t="shared" si="36"/>
        <v>3.9999999977270297</v>
      </c>
      <c r="E143">
        <f t="shared" si="27"/>
        <v>4.701111517151116E-10</v>
      </c>
      <c r="F143">
        <f>SUM(E$69:E142)</f>
        <v>2.4448139253226384</v>
      </c>
      <c r="G143">
        <f t="shared" si="33"/>
        <v>63.53</v>
      </c>
      <c r="H143">
        <f t="shared" si="28"/>
        <v>12.469999999999999</v>
      </c>
      <c r="I143">
        <f t="shared" si="29"/>
        <v>62.53</v>
      </c>
      <c r="J143">
        <f t="shared" si="30"/>
        <v>0.835921052631579</v>
      </c>
      <c r="K143">
        <f t="shared" si="34"/>
        <v>0.8273076923076923</v>
      </c>
      <c r="L143" s="66">
        <f>MAX(M$69:M143)</f>
        <v>0.6112034816779714</v>
      </c>
      <c r="M143">
        <f t="shared" si="31"/>
        <v>0.6112034816779714</v>
      </c>
      <c r="N143">
        <f t="shared" si="35"/>
        <v>0</v>
      </c>
    </row>
    <row r="144" spans="1:14" ht="13.5">
      <c r="A144">
        <v>75</v>
      </c>
      <c r="B144">
        <f t="shared" si="32"/>
        <v>4.261816577612588E-10</v>
      </c>
      <c r="C144">
        <f>SUM(B$69:B143)</f>
        <v>3.999999998295272</v>
      </c>
      <c r="D144">
        <f t="shared" si="36"/>
        <v>3.999999998295272</v>
      </c>
      <c r="E144">
        <f t="shared" si="27"/>
        <v>3.526788085587632E-10</v>
      </c>
      <c r="F144">
        <f>SUM(E$69:E143)</f>
        <v>2.4448139257927495</v>
      </c>
      <c r="G144">
        <f t="shared" si="33"/>
        <v>64.375</v>
      </c>
      <c r="H144">
        <f t="shared" si="28"/>
        <v>12.625</v>
      </c>
      <c r="I144">
        <f t="shared" si="29"/>
        <v>63.375</v>
      </c>
      <c r="J144">
        <f t="shared" si="30"/>
        <v>0.836038961038961</v>
      </c>
      <c r="K144">
        <f t="shared" si="34"/>
        <v>0.8275316455696202</v>
      </c>
      <c r="L144" s="66">
        <f>MAX(M$69:M144)</f>
        <v>0.6112034817086712</v>
      </c>
      <c r="M144">
        <f t="shared" si="31"/>
        <v>0.6112034817086712</v>
      </c>
      <c r="N144">
        <f t="shared" si="35"/>
        <v>0</v>
      </c>
    </row>
    <row r="145" spans="1:14" ht="13.5">
      <c r="A145">
        <v>76</v>
      </c>
      <c r="B145">
        <f t="shared" si="32"/>
        <v>3.1963624332094414E-10</v>
      </c>
      <c r="C145">
        <f>SUM(B$69:B144)</f>
        <v>3.999999998721454</v>
      </c>
      <c r="D145">
        <f t="shared" si="36"/>
        <v>3.999999998721454</v>
      </c>
      <c r="E145">
        <f t="shared" si="27"/>
        <v>2.645789004089115E-10</v>
      </c>
      <c r="F145">
        <f>SUM(E$69:E144)</f>
        <v>2.4448139261454283</v>
      </c>
      <c r="G145">
        <f t="shared" si="33"/>
        <v>65.22</v>
      </c>
      <c r="H145">
        <f t="shared" si="28"/>
        <v>12.780000000000001</v>
      </c>
      <c r="I145">
        <f t="shared" si="29"/>
        <v>64.22</v>
      </c>
      <c r="J145">
        <f t="shared" si="30"/>
        <v>0.8361538461538461</v>
      </c>
      <c r="K145">
        <f t="shared" si="34"/>
        <v>0.82775</v>
      </c>
      <c r="L145" s="66">
        <f>MAX(M$69:M145)</f>
        <v>0.61120348173172</v>
      </c>
      <c r="M145">
        <f t="shared" si="31"/>
        <v>0.61120348173172</v>
      </c>
      <c r="N145">
        <f t="shared" si="35"/>
        <v>0</v>
      </c>
    </row>
    <row r="146" spans="1:14" ht="13.5">
      <c r="A146">
        <v>77</v>
      </c>
      <c r="B146">
        <f t="shared" si="32"/>
        <v>2.397271824907081E-10</v>
      </c>
      <c r="C146">
        <f>SUM(B$69:B145)</f>
        <v>3.99999999904109</v>
      </c>
      <c r="D146">
        <f t="shared" si="36"/>
        <v>3.99999999904109</v>
      </c>
      <c r="E146">
        <f t="shared" si="27"/>
        <v>1.984852283177696E-10</v>
      </c>
      <c r="F146">
        <f>SUM(E$69:E145)</f>
        <v>2.4448139264100073</v>
      </c>
      <c r="G146">
        <f t="shared" si="33"/>
        <v>66.065</v>
      </c>
      <c r="H146">
        <f t="shared" si="28"/>
        <v>12.935000000000002</v>
      </c>
      <c r="I146">
        <f t="shared" si="29"/>
        <v>65.065</v>
      </c>
      <c r="J146">
        <f t="shared" si="30"/>
        <v>0.8362658227848101</v>
      </c>
      <c r="K146">
        <f t="shared" si="34"/>
        <v>0.8279629629629629</v>
      </c>
      <c r="L146" s="66">
        <f>MAX(M$69:M146)</f>
        <v>0.6112034817490241</v>
      </c>
      <c r="M146">
        <f t="shared" si="31"/>
        <v>0.6112034817490241</v>
      </c>
      <c r="N146">
        <f t="shared" si="35"/>
        <v>0</v>
      </c>
    </row>
    <row r="147" spans="1:14" ht="13.5">
      <c r="A147">
        <v>78</v>
      </c>
      <c r="B147">
        <f t="shared" si="32"/>
        <v>1.7979538686803106E-10</v>
      </c>
      <c r="C147">
        <f>SUM(B$69:B146)</f>
        <v>3.9999999992808175</v>
      </c>
      <c r="D147">
        <f t="shared" si="36"/>
        <v>3.9999999992808175</v>
      </c>
      <c r="E147">
        <f t="shared" si="27"/>
        <v>1.4890127710009741E-10</v>
      </c>
      <c r="F147">
        <f>SUM(E$69:E146)</f>
        <v>2.4448139266084925</v>
      </c>
      <c r="G147">
        <f t="shared" si="33"/>
        <v>66.91</v>
      </c>
      <c r="H147">
        <f t="shared" si="28"/>
        <v>13.090000000000003</v>
      </c>
      <c r="I147">
        <f t="shared" si="29"/>
        <v>65.91</v>
      </c>
      <c r="J147">
        <f t="shared" si="30"/>
        <v>0.836375</v>
      </c>
      <c r="K147">
        <f t="shared" si="34"/>
        <v>0.828170731707317</v>
      </c>
      <c r="L147" s="66">
        <f>MAX(M$69:M147)</f>
        <v>0.6112034817620149</v>
      </c>
      <c r="M147">
        <f t="shared" si="31"/>
        <v>0.6112034817620149</v>
      </c>
      <c r="N147">
        <f t="shared" si="35"/>
        <v>0</v>
      </c>
    </row>
    <row r="148" spans="1:14" ht="13.5">
      <c r="A148">
        <v>79</v>
      </c>
      <c r="B148">
        <f t="shared" si="32"/>
        <v>1.348465401510233E-10</v>
      </c>
      <c r="C148">
        <f>SUM(B$69:B147)</f>
        <v>3.999999999460613</v>
      </c>
      <c r="D148">
        <f t="shared" si="36"/>
        <v>3.999999999460613</v>
      </c>
      <c r="E148">
        <f t="shared" si="27"/>
        <v>1.1170329961546513E-10</v>
      </c>
      <c r="F148">
        <f>SUM(E$69:E147)</f>
        <v>2.444813926757394</v>
      </c>
      <c r="G148">
        <f t="shared" si="33"/>
        <v>67.755</v>
      </c>
      <c r="H148">
        <f t="shared" si="28"/>
        <v>13.245000000000005</v>
      </c>
      <c r="I148">
        <f t="shared" si="29"/>
        <v>66.755</v>
      </c>
      <c r="J148">
        <f t="shared" si="30"/>
        <v>0.8364814814814814</v>
      </c>
      <c r="K148">
        <f t="shared" si="34"/>
        <v>0.8283734939759035</v>
      </c>
      <c r="L148" s="66">
        <f>MAX(M$69:M148)</f>
        <v>0.6112034817717673</v>
      </c>
      <c r="M148">
        <f t="shared" si="31"/>
        <v>0.6112034817717673</v>
      </c>
      <c r="N148">
        <f t="shared" si="35"/>
        <v>0</v>
      </c>
    </row>
    <row r="149" spans="1:14" ht="13.5">
      <c r="A149">
        <v>80</v>
      </c>
      <c r="B149">
        <f t="shared" si="32"/>
        <v>1.0113490511326748E-10</v>
      </c>
      <c r="C149">
        <f>SUM(B$69:B148)</f>
        <v>3.999999999595459</v>
      </c>
      <c r="D149">
        <f t="shared" si="36"/>
        <v>3.999999999595459</v>
      </c>
      <c r="E149">
        <f t="shared" si="27"/>
        <v>8.37974928081359E-11</v>
      </c>
      <c r="F149">
        <f>SUM(E$69:E148)</f>
        <v>2.444813926869097</v>
      </c>
      <c r="G149">
        <f t="shared" si="33"/>
        <v>68.6</v>
      </c>
      <c r="H149">
        <f t="shared" si="28"/>
        <v>13.400000000000006</v>
      </c>
      <c r="I149">
        <f t="shared" si="29"/>
        <v>67.6</v>
      </c>
      <c r="J149">
        <f t="shared" si="30"/>
        <v>0.8365853658536585</v>
      </c>
      <c r="K149">
        <f t="shared" si="34"/>
        <v>0.8285714285714285</v>
      </c>
      <c r="L149" s="66">
        <f>MAX(M$69:M149)</f>
        <v>0.6112034817790885</v>
      </c>
      <c r="M149">
        <f t="shared" si="31"/>
        <v>0.6112034817790885</v>
      </c>
      <c r="N149">
        <f t="shared" si="35"/>
        <v>0</v>
      </c>
    </row>
    <row r="150" spans="1:14" ht="13.5">
      <c r="A150">
        <v>81</v>
      </c>
      <c r="B150">
        <f t="shared" si="32"/>
        <v>7.58511788349506E-11</v>
      </c>
      <c r="C150">
        <f>SUM(B$69:B149)</f>
        <v>3.9999999996965943</v>
      </c>
      <c r="D150">
        <f t="shared" si="36"/>
        <v>3.9999999996965943</v>
      </c>
      <c r="E150">
        <f t="shared" si="27"/>
        <v>6.286277991797758E-11</v>
      </c>
      <c r="F150">
        <f>SUM(E$69:E149)</f>
        <v>2.4448139269528943</v>
      </c>
      <c r="G150">
        <f t="shared" si="33"/>
        <v>69.445</v>
      </c>
      <c r="H150">
        <f t="shared" si="28"/>
        <v>13.555000000000007</v>
      </c>
      <c r="I150">
        <f t="shared" si="29"/>
        <v>68.445</v>
      </c>
      <c r="J150">
        <f t="shared" si="30"/>
        <v>0.8366867469879518</v>
      </c>
      <c r="K150">
        <f t="shared" si="34"/>
        <v>0.8287647058823528</v>
      </c>
      <c r="L150" s="66">
        <f>MAX(M$69:M150)</f>
        <v>0.6112034817845843</v>
      </c>
      <c r="M150">
        <f t="shared" si="31"/>
        <v>0.6112034817845843</v>
      </c>
      <c r="N150">
        <f t="shared" si="35"/>
        <v>0</v>
      </c>
    </row>
    <row r="151" spans="1:14" ht="13.5">
      <c r="A151">
        <v>82</v>
      </c>
      <c r="B151">
        <f t="shared" si="32"/>
        <v>5.688838412621296E-11</v>
      </c>
      <c r="C151">
        <f>SUM(B$69:B150)</f>
        <v>3.9999999997724456</v>
      </c>
      <c r="D151">
        <f t="shared" si="36"/>
        <v>3.9999999997724456</v>
      </c>
      <c r="E151">
        <f t="shared" si="27"/>
        <v>4.7157824469275827E-11</v>
      </c>
      <c r="F151">
        <f>SUM(E$69:E150)</f>
        <v>2.444813927015757</v>
      </c>
      <c r="G151">
        <f t="shared" si="33"/>
        <v>70.28999999999999</v>
      </c>
      <c r="H151">
        <f t="shared" si="28"/>
        <v>13.710000000000008</v>
      </c>
      <c r="I151">
        <f t="shared" si="29"/>
        <v>69.28999999999999</v>
      </c>
      <c r="J151">
        <f t="shared" si="30"/>
        <v>0.8367857142857142</v>
      </c>
      <c r="K151">
        <f t="shared" si="34"/>
        <v>0.8289534883720929</v>
      </c>
      <c r="L151" s="66">
        <f>MAX(M$69:M151)</f>
        <v>0.6112034817887098</v>
      </c>
      <c r="M151">
        <f t="shared" si="31"/>
        <v>0.6112034817887098</v>
      </c>
      <c r="N151">
        <f t="shared" si="35"/>
        <v>0</v>
      </c>
    </row>
    <row r="152" spans="1:14" ht="13.5">
      <c r="A152">
        <v>83</v>
      </c>
      <c r="B152">
        <f t="shared" si="32"/>
        <v>4.2666288094659715E-11</v>
      </c>
      <c r="C152">
        <f>SUM(B$69:B151)</f>
        <v>3.999999999829334</v>
      </c>
      <c r="D152">
        <f t="shared" si="36"/>
        <v>3.999999999829334</v>
      </c>
      <c r="E152">
        <f t="shared" si="27"/>
        <v>3.537623783572733E-11</v>
      </c>
      <c r="F152">
        <f>SUM(E$69:E151)</f>
        <v>2.444813927062915</v>
      </c>
      <c r="G152">
        <f t="shared" si="33"/>
        <v>71.13499999999999</v>
      </c>
      <c r="H152">
        <f t="shared" si="28"/>
        <v>13.865000000000009</v>
      </c>
      <c r="I152">
        <f t="shared" si="29"/>
        <v>70.13499999999999</v>
      </c>
      <c r="J152">
        <f t="shared" si="30"/>
        <v>0.8368823529411764</v>
      </c>
      <c r="K152">
        <f t="shared" si="34"/>
        <v>0.8291379310344826</v>
      </c>
      <c r="L152" s="66">
        <f>MAX(M$69:M152)</f>
        <v>0.6112034817918066</v>
      </c>
      <c r="M152">
        <f t="shared" si="31"/>
        <v>0.6112034817918066</v>
      </c>
      <c r="N152">
        <f t="shared" si="35"/>
        <v>0</v>
      </c>
    </row>
    <row r="153" spans="1:14" ht="13.5">
      <c r="A153">
        <v>84</v>
      </c>
      <c r="B153">
        <f t="shared" si="32"/>
        <v>3.199971607099479E-11</v>
      </c>
      <c r="C153">
        <f>SUM(B$69:B152)</f>
        <v>3.999999999872</v>
      </c>
      <c r="D153">
        <f t="shared" si="36"/>
        <v>3.999999999872</v>
      </c>
      <c r="E153">
        <f t="shared" si="27"/>
        <v>2.6537946350695454E-11</v>
      </c>
      <c r="F153">
        <f>SUM(E$69:E152)</f>
        <v>2.444813927098291</v>
      </c>
      <c r="G153">
        <f t="shared" si="33"/>
        <v>71.98</v>
      </c>
      <c r="H153">
        <f t="shared" si="28"/>
        <v>14.019999999999996</v>
      </c>
      <c r="I153">
        <f t="shared" si="29"/>
        <v>70.98</v>
      </c>
      <c r="J153">
        <f t="shared" si="30"/>
        <v>0.8369767441860465</v>
      </c>
      <c r="K153">
        <f t="shared" si="34"/>
        <v>0.8293181818181818</v>
      </c>
      <c r="L153" s="66">
        <f>MAX(M$69:M153)</f>
        <v>0.6112034817941312</v>
      </c>
      <c r="M153">
        <f t="shared" si="31"/>
        <v>0.6112034817941312</v>
      </c>
      <c r="N153">
        <f t="shared" si="35"/>
        <v>0</v>
      </c>
    </row>
    <row r="154" spans="1:14" ht="13.5">
      <c r="A154">
        <v>85</v>
      </c>
      <c r="B154">
        <f t="shared" si="32"/>
        <v>2.3999787053246092E-11</v>
      </c>
      <c r="C154">
        <f>SUM(B$69:B153)</f>
        <v>3.999999999904</v>
      </c>
      <c r="D154">
        <f t="shared" si="36"/>
        <v>3.999999999904</v>
      </c>
      <c r="E154">
        <f t="shared" si="27"/>
        <v>1.990768853040329E-11</v>
      </c>
      <c r="F154">
        <f>SUM(E$69:E153)</f>
        <v>2.444813927124829</v>
      </c>
      <c r="G154">
        <f t="shared" si="33"/>
        <v>72.825</v>
      </c>
      <c r="H154">
        <f t="shared" si="28"/>
        <v>14.174999999999997</v>
      </c>
      <c r="I154">
        <f t="shared" si="29"/>
        <v>71.825</v>
      </c>
      <c r="J154">
        <f t="shared" si="30"/>
        <v>0.8370689655172414</v>
      </c>
      <c r="K154">
        <f t="shared" si="34"/>
        <v>0.8294943820224719</v>
      </c>
      <c r="L154" s="66">
        <f>MAX(M$69:M154)</f>
        <v>0.6112034817958761</v>
      </c>
      <c r="M154">
        <f t="shared" si="31"/>
        <v>0.6112034817958761</v>
      </c>
      <c r="N154">
        <f t="shared" si="35"/>
        <v>0</v>
      </c>
    </row>
    <row r="155" spans="1:14" ht="13.5">
      <c r="A155">
        <v>86</v>
      </c>
      <c r="B155">
        <f t="shared" si="32"/>
        <v>1.7999840289934567E-11</v>
      </c>
      <c r="C155">
        <f>SUM(B$69:B154)</f>
        <v>3.999999999928</v>
      </c>
      <c r="D155">
        <f t="shared" si="36"/>
        <v>3.999999999928</v>
      </c>
      <c r="E155">
        <f t="shared" si="27"/>
        <v>1.493386749388238E-11</v>
      </c>
      <c r="F155">
        <f>SUM(E$69:E154)</f>
        <v>2.4448139271447364</v>
      </c>
      <c r="G155">
        <f t="shared" si="33"/>
        <v>73.67</v>
      </c>
      <c r="H155">
        <f t="shared" si="28"/>
        <v>14.329999999999998</v>
      </c>
      <c r="I155">
        <f t="shared" si="29"/>
        <v>72.67</v>
      </c>
      <c r="J155">
        <f t="shared" si="30"/>
        <v>0.8371590909090909</v>
      </c>
      <c r="K155">
        <f t="shared" si="34"/>
        <v>0.8296666666666667</v>
      </c>
      <c r="L155" s="66">
        <f>MAX(M$69:M155)</f>
        <v>0.6112034817971858</v>
      </c>
      <c r="M155">
        <f t="shared" si="31"/>
        <v>0.6112034817971858</v>
      </c>
      <c r="N155">
        <f t="shared" si="35"/>
        <v>0</v>
      </c>
    </row>
    <row r="156" spans="1:14" ht="13.5">
      <c r="A156">
        <v>87</v>
      </c>
      <c r="B156">
        <f t="shared" si="32"/>
        <v>1.3499880217450927E-11</v>
      </c>
      <c r="C156">
        <f>SUM(B$69:B155)</f>
        <v>3.9999999999459996</v>
      </c>
      <c r="D156">
        <f t="shared" si="36"/>
        <v>3.9999999999459996</v>
      </c>
      <c r="E156">
        <f t="shared" si="27"/>
        <v>1.120267532550337E-11</v>
      </c>
      <c r="F156">
        <f>SUM(E$69:E155)</f>
        <v>2.4448139271596703</v>
      </c>
      <c r="G156">
        <f t="shared" si="33"/>
        <v>74.515</v>
      </c>
      <c r="H156">
        <f t="shared" si="28"/>
        <v>14.485</v>
      </c>
      <c r="I156">
        <f t="shared" si="29"/>
        <v>73.515</v>
      </c>
      <c r="J156">
        <f t="shared" si="30"/>
        <v>0.837247191011236</v>
      </c>
      <c r="K156">
        <f t="shared" si="34"/>
        <v>0.8298351648351648</v>
      </c>
      <c r="L156" s="66">
        <f>MAX(M$69:M156)</f>
        <v>0.6112034817981689</v>
      </c>
      <c r="M156">
        <f t="shared" si="31"/>
        <v>0.6112034817981689</v>
      </c>
      <c r="N156">
        <f t="shared" si="35"/>
        <v>0</v>
      </c>
    </row>
    <row r="157" spans="1:14" ht="13.5">
      <c r="A157">
        <v>88</v>
      </c>
      <c r="B157">
        <f t="shared" si="32"/>
        <v>1.0124910163088195E-11</v>
      </c>
      <c r="C157">
        <f>SUM(B$69:B156)</f>
        <v>3.9999999999594995</v>
      </c>
      <c r="D157">
        <f t="shared" si="36"/>
        <v>3.9999999999594995</v>
      </c>
      <c r="E157">
        <f t="shared" si="27"/>
        <v>8.403675435363201E-12</v>
      </c>
      <c r="F157">
        <f>SUM(E$69:E156)</f>
        <v>2.444813927170873</v>
      </c>
      <c r="G157">
        <f t="shared" si="33"/>
        <v>75.36</v>
      </c>
      <c r="H157">
        <f t="shared" si="28"/>
        <v>14.64</v>
      </c>
      <c r="I157">
        <f t="shared" si="29"/>
        <v>74.36</v>
      </c>
      <c r="J157">
        <f t="shared" si="30"/>
        <v>0.8373333333333334</v>
      </c>
      <c r="K157">
        <f t="shared" si="34"/>
        <v>0.83</v>
      </c>
      <c r="L157" s="66">
        <f>MAX(M$69:M157)</f>
        <v>0.6112034817989067</v>
      </c>
      <c r="M157">
        <f t="shared" si="31"/>
        <v>0.6112034817989067</v>
      </c>
      <c r="N157">
        <f t="shared" si="35"/>
        <v>0</v>
      </c>
    </row>
    <row r="158" spans="1:14" ht="13.5">
      <c r="A158">
        <v>89</v>
      </c>
      <c r="B158">
        <f t="shared" si="32"/>
        <v>7.593682622316147E-12</v>
      </c>
      <c r="C158">
        <f>SUM(B$69:B157)</f>
        <v>3.9999999999696243</v>
      </c>
      <c r="D158">
        <f t="shared" si="36"/>
        <v>3.9999999999696243</v>
      </c>
      <c r="E158">
        <f t="shared" si="27"/>
        <v>6.30398136404213E-12</v>
      </c>
      <c r="F158">
        <f>SUM(E$69:E157)</f>
        <v>2.4448139271792764</v>
      </c>
      <c r="G158">
        <f t="shared" si="33"/>
        <v>76.205</v>
      </c>
      <c r="H158">
        <f t="shared" si="28"/>
        <v>14.795000000000002</v>
      </c>
      <c r="I158">
        <f t="shared" si="29"/>
        <v>75.205</v>
      </c>
      <c r="J158">
        <f t="shared" si="30"/>
        <v>0.8374175824175824</v>
      </c>
      <c r="K158">
        <f t="shared" si="34"/>
        <v>0.8301612903225807</v>
      </c>
      <c r="L158" s="66">
        <f>MAX(M$69:M158)</f>
        <v>0.6112034817994605</v>
      </c>
      <c r="M158">
        <f t="shared" si="31"/>
        <v>0.6112034817994605</v>
      </c>
      <c r="N158">
        <f t="shared" si="35"/>
        <v>0</v>
      </c>
    </row>
    <row r="159" spans="1:14" ht="13.5">
      <c r="A159">
        <v>90</v>
      </c>
      <c r="B159">
        <f t="shared" si="32"/>
        <v>5.695261966737109E-12</v>
      </c>
      <c r="C159">
        <f>SUM(B$69:B158)</f>
        <v>3.999999999977218</v>
      </c>
      <c r="D159">
        <f t="shared" si="36"/>
        <v>3.999999999977218</v>
      </c>
      <c r="E159">
        <f t="shared" si="27"/>
        <v>4.728885069189696E-12</v>
      </c>
      <c r="F159">
        <f>SUM(E$69:E158)</f>
        <v>2.44481392718558</v>
      </c>
      <c r="G159">
        <f t="shared" si="33"/>
        <v>77.05</v>
      </c>
      <c r="H159">
        <f t="shared" si="28"/>
        <v>14.950000000000003</v>
      </c>
      <c r="I159">
        <f t="shared" si="29"/>
        <v>76.05</v>
      </c>
      <c r="J159">
        <f t="shared" si="30"/>
        <v>0.8375</v>
      </c>
      <c r="K159">
        <f t="shared" si="34"/>
        <v>0.8303191489361702</v>
      </c>
      <c r="L159" s="66">
        <f>MAX(M$69:M159)</f>
        <v>0.6112034817998762</v>
      </c>
      <c r="M159">
        <f t="shared" si="31"/>
        <v>0.6112034817998762</v>
      </c>
      <c r="N159">
        <f t="shared" si="35"/>
        <v>0</v>
      </c>
    </row>
    <row r="160" spans="1:14" ht="13.5">
      <c r="A160">
        <v>91</v>
      </c>
      <c r="B160">
        <f t="shared" si="32"/>
        <v>4.271446475052832E-12</v>
      </c>
      <c r="C160">
        <f>SUM(B$69:B159)</f>
        <v>3.9999999999829132</v>
      </c>
      <c r="D160">
        <f t="shared" si="36"/>
        <v>3.9999999999829132</v>
      </c>
      <c r="E160">
        <f t="shared" si="27"/>
        <v>3.547323891045191E-12</v>
      </c>
      <c r="F160">
        <f>SUM(E$69:E159)</f>
        <v>2.4448139271903093</v>
      </c>
      <c r="G160">
        <f t="shared" si="33"/>
        <v>77.895</v>
      </c>
      <c r="H160">
        <f t="shared" si="28"/>
        <v>15.105000000000004</v>
      </c>
      <c r="I160">
        <f t="shared" si="29"/>
        <v>76.895</v>
      </c>
      <c r="J160">
        <f t="shared" si="30"/>
        <v>0.8375806451612903</v>
      </c>
      <c r="K160">
        <f t="shared" si="34"/>
        <v>0.8304736842105263</v>
      </c>
      <c r="L160" s="66">
        <f>MAX(M$69:M160)</f>
        <v>0.6112034818001882</v>
      </c>
      <c r="M160">
        <f t="shared" si="31"/>
        <v>0.6112034818001882</v>
      </c>
      <c r="N160">
        <f t="shared" si="35"/>
        <v>0</v>
      </c>
    </row>
    <row r="161" spans="1:14" ht="13.5">
      <c r="A161">
        <v>92</v>
      </c>
      <c r="B161">
        <f t="shared" si="32"/>
        <v>3.203584856289624E-12</v>
      </c>
      <c r="C161">
        <f>SUM(B$69:B160)</f>
        <v>3.9999999999871845</v>
      </c>
      <c r="D161">
        <f t="shared" si="36"/>
        <v>3.9999999999871845</v>
      </c>
      <c r="E161">
        <f t="shared" si="27"/>
        <v>2.6609776712555688E-12</v>
      </c>
      <c r="F161">
        <f>SUM(E$69:E160)</f>
        <v>2.4448139271938567</v>
      </c>
      <c r="G161">
        <f t="shared" si="33"/>
        <v>78.74</v>
      </c>
      <c r="H161">
        <f t="shared" si="28"/>
        <v>15.260000000000005</v>
      </c>
      <c r="I161">
        <f t="shared" si="29"/>
        <v>77.74</v>
      </c>
      <c r="J161">
        <f t="shared" si="30"/>
        <v>0.837659574468085</v>
      </c>
      <c r="K161">
        <f t="shared" si="34"/>
        <v>0.830625</v>
      </c>
      <c r="L161" s="66">
        <f>MAX(M$69:M161)</f>
        <v>0.6112034818004224</v>
      </c>
      <c r="M161">
        <f t="shared" si="31"/>
        <v>0.6112034818004224</v>
      </c>
      <c r="N161">
        <f t="shared" si="35"/>
        <v>0</v>
      </c>
    </row>
    <row r="162" spans="1:14" ht="13.5">
      <c r="A162">
        <v>93</v>
      </c>
      <c r="B162">
        <f t="shared" si="32"/>
        <v>2.402688642217218E-12</v>
      </c>
      <c r="C162">
        <f>SUM(B$69:B161)</f>
        <v>3.999999999990388</v>
      </c>
      <c r="D162">
        <f t="shared" si="36"/>
        <v>3.999999999990388</v>
      </c>
      <c r="E162">
        <f t="shared" si="27"/>
        <v>1.996089321990459E-12</v>
      </c>
      <c r="F162">
        <f>SUM(E$69:E161)</f>
        <v>2.4448139271965177</v>
      </c>
      <c r="G162">
        <f t="shared" si="33"/>
        <v>79.585</v>
      </c>
      <c r="H162">
        <f t="shared" si="28"/>
        <v>15.415000000000006</v>
      </c>
      <c r="I162">
        <f t="shared" si="29"/>
        <v>78.585</v>
      </c>
      <c r="J162">
        <f t="shared" si="30"/>
        <v>0.8377368421052631</v>
      </c>
      <c r="K162">
        <f t="shared" si="34"/>
        <v>0.8307731958762886</v>
      </c>
      <c r="L162" s="66">
        <f>MAX(M$69:M162)</f>
        <v>0.6112034818005981</v>
      </c>
      <c r="M162">
        <f t="shared" si="31"/>
        <v>0.6112034818005981</v>
      </c>
      <c r="N162">
        <f t="shared" si="35"/>
        <v>0</v>
      </c>
    </row>
    <row r="163" spans="1:14" ht="13.5">
      <c r="A163">
        <v>94</v>
      </c>
      <c r="B163">
        <f t="shared" si="32"/>
        <v>1.8020164816629136E-12</v>
      </c>
      <c r="C163">
        <f>SUM(B$69:B162)</f>
        <v>3.9999999999927907</v>
      </c>
      <c r="D163">
        <f t="shared" si="36"/>
        <v>3.9999999999927907</v>
      </c>
      <c r="E163">
        <f t="shared" si="27"/>
        <v>1.4973285928756229E-12</v>
      </c>
      <c r="F163">
        <f>SUM(E$69:E162)</f>
        <v>2.444813927198514</v>
      </c>
      <c r="G163">
        <f t="shared" si="33"/>
        <v>80.42999999999999</v>
      </c>
      <c r="H163">
        <f t="shared" si="28"/>
        <v>15.570000000000007</v>
      </c>
      <c r="I163">
        <f t="shared" si="29"/>
        <v>79.42999999999999</v>
      </c>
      <c r="J163">
        <f t="shared" si="30"/>
        <v>0.8378125</v>
      </c>
      <c r="K163">
        <f t="shared" si="34"/>
        <v>0.8309183673469387</v>
      </c>
      <c r="L163" s="66">
        <f>MAX(M$69:M163)</f>
        <v>0.61120348180073</v>
      </c>
      <c r="M163">
        <f t="shared" si="31"/>
        <v>0.61120348180073</v>
      </c>
      <c r="N163">
        <f t="shared" si="35"/>
        <v>0</v>
      </c>
    </row>
    <row r="164" spans="1:14" ht="13.5">
      <c r="A164">
        <v>95</v>
      </c>
      <c r="B164">
        <f t="shared" si="32"/>
        <v>1.3515123612471852E-12</v>
      </c>
      <c r="C164">
        <f>SUM(B$69:B163)</f>
        <v>3.9999999999945928</v>
      </c>
      <c r="D164">
        <f t="shared" si="36"/>
        <v>3.9999999999945928</v>
      </c>
      <c r="E164">
        <f t="shared" si="27"/>
        <v>1.1231886820364864E-12</v>
      </c>
      <c r="F164">
        <f>SUM(E$69:E163)</f>
        <v>2.4448139272000113</v>
      </c>
      <c r="G164">
        <f t="shared" si="33"/>
        <v>81.27499999999999</v>
      </c>
      <c r="H164">
        <f t="shared" si="28"/>
        <v>15.725000000000009</v>
      </c>
      <c r="I164">
        <f t="shared" si="29"/>
        <v>80.27499999999999</v>
      </c>
      <c r="J164">
        <f t="shared" si="30"/>
        <v>0.8378865979381442</v>
      </c>
      <c r="K164">
        <f t="shared" si="34"/>
        <v>0.8310606060606059</v>
      </c>
      <c r="L164" s="66">
        <f>MAX(M$69:M164)</f>
        <v>0.6112034818008291</v>
      </c>
      <c r="M164">
        <f t="shared" si="31"/>
        <v>0.6112034818008291</v>
      </c>
      <c r="N164">
        <f t="shared" si="35"/>
        <v>0</v>
      </c>
    </row>
    <row r="165" spans="1:14" ht="13.5">
      <c r="A165">
        <v>96</v>
      </c>
      <c r="B165">
        <f t="shared" si="32"/>
        <v>1.0136342709353888E-12</v>
      </c>
      <c r="C165">
        <f>SUM(B$69:B164)</f>
        <v>3.999999999995944</v>
      </c>
      <c r="D165">
        <f t="shared" si="36"/>
        <v>3.999999999995944</v>
      </c>
      <c r="E165">
        <f aca="true" t="shared" si="37" ref="E165:E196">K165*B165</f>
        <v>8.425328060014952E-13</v>
      </c>
      <c r="F165">
        <f>SUM(E$69:E164)</f>
        <v>2.4448139272011344</v>
      </c>
      <c r="G165">
        <f t="shared" si="33"/>
        <v>82.12</v>
      </c>
      <c r="H165">
        <f aca="true" t="shared" si="38" ref="H165:H196">($H$67+A165-I165)</f>
        <v>15.879999999999995</v>
      </c>
      <c r="I165">
        <f aca="true" t="shared" si="39" ref="I165:I196">A165*$I$67</f>
        <v>81.12</v>
      </c>
      <c r="J165">
        <f aca="true" t="shared" si="40" ref="J165:J196">($G$67+I165)/(($G$67+I165)+($H$67+A165-I165))</f>
        <v>0.8379591836734694</v>
      </c>
      <c r="K165">
        <f t="shared" si="34"/>
        <v>0.8312</v>
      </c>
      <c r="L165" s="66">
        <f>MAX(M$69:M165)</f>
        <v>0.6112034818009033</v>
      </c>
      <c r="M165">
        <f aca="true" t="shared" si="41" ref="M165:M196">F165/D165</f>
        <v>0.6112034818009033</v>
      </c>
      <c r="N165">
        <f t="shared" si="35"/>
        <v>0</v>
      </c>
    </row>
    <row r="166" spans="1:14" ht="13.5">
      <c r="A166">
        <v>97</v>
      </c>
      <c r="B166">
        <f t="shared" si="32"/>
        <v>7.602257032015416E-13</v>
      </c>
      <c r="C166">
        <f>SUM(B$69:B165)</f>
        <v>3.999999999996958</v>
      </c>
      <c r="D166">
        <f t="shared" si="36"/>
        <v>3.999999999996958</v>
      </c>
      <c r="E166">
        <f t="shared" si="37"/>
        <v>6.320034769239351E-13</v>
      </c>
      <c r="F166">
        <f>SUM(E$69:E165)</f>
        <v>2.444813927201977</v>
      </c>
      <c r="G166">
        <f t="shared" si="33"/>
        <v>82.965</v>
      </c>
      <c r="H166">
        <f t="shared" si="38"/>
        <v>16.034999999999997</v>
      </c>
      <c r="I166">
        <f t="shared" si="39"/>
        <v>81.965</v>
      </c>
      <c r="J166">
        <f t="shared" si="40"/>
        <v>0.838030303030303</v>
      </c>
      <c r="K166">
        <f t="shared" si="34"/>
        <v>0.8313366336633664</v>
      </c>
      <c r="L166" s="66">
        <f>MAX(M$69:M166)</f>
        <v>0.6112034818009591</v>
      </c>
      <c r="M166">
        <f t="shared" si="41"/>
        <v>0.6112034818009591</v>
      </c>
      <c r="N166">
        <f t="shared" si="35"/>
        <v>0</v>
      </c>
    </row>
    <row r="167" spans="1:14" ht="13.5">
      <c r="A167">
        <v>98</v>
      </c>
      <c r="B167">
        <f t="shared" si="32"/>
        <v>5.701692774011561E-13</v>
      </c>
      <c r="C167">
        <f>SUM(B$69:B166)</f>
        <v>3.9999999999977183</v>
      </c>
      <c r="D167">
        <f t="shared" si="36"/>
        <v>3.9999999999977183</v>
      </c>
      <c r="E167">
        <f t="shared" si="37"/>
        <v>4.74078984474432E-13</v>
      </c>
      <c r="F167">
        <f>SUM(E$69:E166)</f>
        <v>2.444813927202609</v>
      </c>
      <c r="G167">
        <f t="shared" si="33"/>
        <v>83.81</v>
      </c>
      <c r="H167">
        <f t="shared" si="38"/>
        <v>16.189999999999998</v>
      </c>
      <c r="I167">
        <f t="shared" si="39"/>
        <v>82.81</v>
      </c>
      <c r="J167">
        <f t="shared" si="40"/>
        <v>0.8381000000000001</v>
      </c>
      <c r="K167">
        <f t="shared" si="34"/>
        <v>0.8314705882352942</v>
      </c>
      <c r="L167" s="66">
        <f>MAX(M$69:M167)</f>
        <v>0.6112034818010008</v>
      </c>
      <c r="M167">
        <f t="shared" si="41"/>
        <v>0.6112034818010008</v>
      </c>
      <c r="N167">
        <f t="shared" si="35"/>
        <v>0</v>
      </c>
    </row>
    <row r="168" spans="1:14" ht="13.5">
      <c r="A168">
        <v>99</v>
      </c>
      <c r="B168">
        <f t="shared" si="32"/>
        <v>4.2762695805086714E-13</v>
      </c>
      <c r="C168">
        <f>SUM(B$69:B167)</f>
        <v>3.9999999999982885</v>
      </c>
      <c r="D168">
        <f t="shared" si="36"/>
        <v>3.9999999999982885</v>
      </c>
      <c r="E168">
        <f t="shared" si="37"/>
        <v>3.55615408658709E-13</v>
      </c>
      <c r="F168">
        <f>SUM(E$69:E167)</f>
        <v>2.444813927203083</v>
      </c>
      <c r="G168">
        <f t="shared" si="33"/>
        <v>84.655</v>
      </c>
      <c r="H168">
        <f t="shared" si="38"/>
        <v>16.345</v>
      </c>
      <c r="I168">
        <f t="shared" si="39"/>
        <v>83.655</v>
      </c>
      <c r="J168">
        <f t="shared" si="40"/>
        <v>0.8381683168316831</v>
      </c>
      <c r="K168">
        <f t="shared" si="34"/>
        <v>0.8316019417475728</v>
      </c>
      <c r="L168" s="66">
        <f>MAX(M$69:M168)</f>
        <v>0.6112034818010323</v>
      </c>
      <c r="M168">
        <f t="shared" si="41"/>
        <v>0.6112034818010323</v>
      </c>
      <c r="N168">
        <f t="shared" si="35"/>
        <v>0</v>
      </c>
    </row>
    <row r="169" spans="1:14" ht="13.5">
      <c r="A169">
        <v>100</v>
      </c>
      <c r="B169">
        <f t="shared" si="32"/>
        <v>3.2072021853815043E-13</v>
      </c>
      <c r="C169">
        <f>SUM(B$69:B168)</f>
        <v>3.999999999998716</v>
      </c>
      <c r="D169">
        <f t="shared" si="36"/>
        <v>3.999999999998716</v>
      </c>
      <c r="E169">
        <f t="shared" si="37"/>
        <v>2.667528740725963E-13</v>
      </c>
      <c r="F169">
        <f>SUM(E$69:E168)</f>
        <v>2.444813927203439</v>
      </c>
      <c r="G169">
        <f t="shared" si="33"/>
        <v>85.5</v>
      </c>
      <c r="H169">
        <f t="shared" si="38"/>
        <v>16.5</v>
      </c>
      <c r="I169">
        <f t="shared" si="39"/>
        <v>84.5</v>
      </c>
      <c r="J169">
        <f t="shared" si="40"/>
        <v>0.8382352941176471</v>
      </c>
      <c r="K169">
        <f t="shared" si="34"/>
        <v>0.8317307692307693</v>
      </c>
      <c r="L169" s="66">
        <f>MAX(M$69:M169)</f>
        <v>0.6112034818010559</v>
      </c>
      <c r="M169">
        <f t="shared" si="41"/>
        <v>0.6112034818010559</v>
      </c>
      <c r="N169">
        <f t="shared" si="35"/>
        <v>0</v>
      </c>
    </row>
    <row r="170" spans="1:14" ht="13.5">
      <c r="A170">
        <v>101</v>
      </c>
      <c r="B170">
        <f t="shared" si="32"/>
        <v>2.405401639036128E-13</v>
      </c>
      <c r="C170">
        <f>SUM(B$69:B169)</f>
        <v>3.9999999999990368</v>
      </c>
      <c r="D170">
        <f t="shared" si="36"/>
        <v>3.9999999999990368</v>
      </c>
      <c r="E170">
        <f t="shared" si="37"/>
        <v>2.000950534872482E-13</v>
      </c>
      <c r="F170">
        <f>SUM(E$69:E169)</f>
        <v>2.4448139272037057</v>
      </c>
      <c r="G170">
        <f t="shared" si="33"/>
        <v>86.345</v>
      </c>
      <c r="H170">
        <f t="shared" si="38"/>
        <v>16.655</v>
      </c>
      <c r="I170">
        <f t="shared" si="39"/>
        <v>85.345</v>
      </c>
      <c r="J170">
        <f t="shared" si="40"/>
        <v>0.8383009708737864</v>
      </c>
      <c r="K170">
        <f t="shared" si="34"/>
        <v>0.8318571428571429</v>
      </c>
      <c r="L170" s="66">
        <f>MAX(M$69:M170)</f>
        <v>0.6112034818010736</v>
      </c>
      <c r="M170">
        <f t="shared" si="41"/>
        <v>0.6112034818010736</v>
      </c>
      <c r="N170">
        <f t="shared" si="35"/>
        <v>0</v>
      </c>
    </row>
    <row r="171" spans="1:14" ht="13.5">
      <c r="A171">
        <v>102</v>
      </c>
      <c r="B171">
        <f t="shared" si="32"/>
        <v>1.8040512292770958E-13</v>
      </c>
      <c r="C171">
        <f>SUM(B$69:B170)</f>
        <v>3.9999999999992775</v>
      </c>
      <c r="D171">
        <f t="shared" si="36"/>
        <v>3.9999999999992775</v>
      </c>
      <c r="E171">
        <f t="shared" si="37"/>
        <v>1.5009365840561045E-13</v>
      </c>
      <c r="F171">
        <f>SUM(E$69:E170)</f>
        <v>2.444813927203906</v>
      </c>
      <c r="G171">
        <f t="shared" si="33"/>
        <v>87.19</v>
      </c>
      <c r="H171">
        <f t="shared" si="38"/>
        <v>16.810000000000002</v>
      </c>
      <c r="I171">
        <f t="shared" si="39"/>
        <v>86.19</v>
      </c>
      <c r="J171">
        <f t="shared" si="40"/>
        <v>0.8383653846153846</v>
      </c>
      <c r="K171">
        <f t="shared" si="34"/>
        <v>0.8319811320754716</v>
      </c>
      <c r="L171" s="66">
        <f>MAX(M$69:M171)</f>
        <v>0.6112034818010869</v>
      </c>
      <c r="M171">
        <f t="shared" si="41"/>
        <v>0.6112034818010869</v>
      </c>
      <c r="N171">
        <f t="shared" si="35"/>
        <v>0</v>
      </c>
    </row>
    <row r="172" spans="1:14" ht="13.5">
      <c r="A172">
        <v>103</v>
      </c>
      <c r="B172">
        <f t="shared" si="32"/>
        <v>1.353038421957822E-13</v>
      </c>
      <c r="C172">
        <f>SUM(B$69:B171)</f>
        <v>3.9999999999994578</v>
      </c>
      <c r="D172">
        <f t="shared" si="36"/>
        <v>3.9999999999994578</v>
      </c>
      <c r="E172">
        <f t="shared" si="37"/>
        <v>1.1258670644767725E-13</v>
      </c>
      <c r="F172">
        <f>SUM(E$69:E171)</f>
        <v>2.444813927204056</v>
      </c>
      <c r="G172">
        <f t="shared" si="33"/>
        <v>88.035</v>
      </c>
      <c r="H172">
        <f t="shared" si="38"/>
        <v>16.965000000000003</v>
      </c>
      <c r="I172">
        <f t="shared" si="39"/>
        <v>87.035</v>
      </c>
      <c r="J172">
        <f t="shared" si="40"/>
        <v>0.8384285714285714</v>
      </c>
      <c r="K172">
        <f t="shared" si="34"/>
        <v>0.8321028037383177</v>
      </c>
      <c r="L172" s="66">
        <f>MAX(M$69:M172)</f>
        <v>0.6112034818010968</v>
      </c>
      <c r="M172">
        <f t="shared" si="41"/>
        <v>0.6112034818010968</v>
      </c>
      <c r="N172">
        <f t="shared" si="35"/>
        <v>0</v>
      </c>
    </row>
    <row r="173" spans="1:14" ht="13.5">
      <c r="A173">
        <v>104</v>
      </c>
      <c r="B173">
        <f t="shared" si="32"/>
        <v>1.0147788164683664E-13</v>
      </c>
      <c r="C173">
        <f>SUM(B$69:B172)</f>
        <v>3.999999999999593</v>
      </c>
      <c r="D173">
        <f t="shared" si="36"/>
        <v>3.999999999999593</v>
      </c>
      <c r="E173">
        <f t="shared" si="37"/>
        <v>8.445214817053405E-14</v>
      </c>
      <c r="F173">
        <f>SUM(E$69:E172)</f>
        <v>2.444813927204169</v>
      </c>
      <c r="G173">
        <f t="shared" si="33"/>
        <v>88.88</v>
      </c>
      <c r="H173">
        <f t="shared" si="38"/>
        <v>17.120000000000005</v>
      </c>
      <c r="I173">
        <f t="shared" si="39"/>
        <v>87.88</v>
      </c>
      <c r="J173">
        <f t="shared" si="40"/>
        <v>0.8384905660377358</v>
      </c>
      <c r="K173">
        <f t="shared" si="34"/>
        <v>0.8322222222222222</v>
      </c>
      <c r="L173" s="66">
        <f>MAX(M$69:M173)</f>
        <v>0.6112034818011044</v>
      </c>
      <c r="M173">
        <f t="shared" si="41"/>
        <v>0.6112034818011044</v>
      </c>
      <c r="N173">
        <f t="shared" si="35"/>
        <v>0</v>
      </c>
    </row>
    <row r="174" spans="1:14" ht="13.5">
      <c r="A174">
        <v>105</v>
      </c>
      <c r="B174">
        <f t="shared" si="32"/>
        <v>7.610841123512748E-14</v>
      </c>
      <c r="C174">
        <f>SUM(B$69:B173)</f>
        <v>3.999999999999695</v>
      </c>
      <c r="D174">
        <f t="shared" si="36"/>
        <v>3.999999999999695</v>
      </c>
      <c r="E174">
        <f t="shared" si="37"/>
        <v>6.334803311290771E-14</v>
      </c>
      <c r="F174">
        <f>SUM(E$69:E173)</f>
        <v>2.4448139272042533</v>
      </c>
      <c r="G174">
        <f t="shared" si="33"/>
        <v>89.725</v>
      </c>
      <c r="H174">
        <f t="shared" si="38"/>
        <v>17.275000000000006</v>
      </c>
      <c r="I174">
        <f t="shared" si="39"/>
        <v>88.725</v>
      </c>
      <c r="J174">
        <f t="shared" si="40"/>
        <v>0.8385514018691588</v>
      </c>
      <c r="K174">
        <f t="shared" si="34"/>
        <v>0.8323394495412844</v>
      </c>
      <c r="L174" s="66">
        <f>MAX(M$69:M174)</f>
        <v>0.61120348180111</v>
      </c>
      <c r="M174">
        <f t="shared" si="41"/>
        <v>0.61120348180111</v>
      </c>
      <c r="N174">
        <f t="shared" si="35"/>
        <v>0</v>
      </c>
    </row>
    <row r="175" spans="1:14" ht="13.5">
      <c r="A175">
        <v>106</v>
      </c>
      <c r="B175">
        <f t="shared" si="32"/>
        <v>5.708130842634562E-14</v>
      </c>
      <c r="C175">
        <f>SUM(B$69:B174)</f>
        <v>3.999999999999771</v>
      </c>
      <c r="D175">
        <f t="shared" si="36"/>
        <v>3.999999999999771</v>
      </c>
      <c r="E175">
        <f t="shared" si="37"/>
        <v>4.7517594660004257E-14</v>
      </c>
      <c r="F175">
        <f>SUM(E$69:E174)</f>
        <v>2.444813927204317</v>
      </c>
      <c r="G175">
        <f t="shared" si="33"/>
        <v>90.57</v>
      </c>
      <c r="H175">
        <f t="shared" si="38"/>
        <v>17.430000000000007</v>
      </c>
      <c r="I175">
        <f t="shared" si="39"/>
        <v>89.57</v>
      </c>
      <c r="J175">
        <f t="shared" si="40"/>
        <v>0.8386111111111111</v>
      </c>
      <c r="K175">
        <f t="shared" si="34"/>
        <v>0.8324545454545454</v>
      </c>
      <c r="L175" s="66">
        <f>MAX(M$69:M175)</f>
        <v>0.6112034818011142</v>
      </c>
      <c r="M175">
        <f t="shared" si="41"/>
        <v>0.6112034818011142</v>
      </c>
      <c r="N175">
        <f t="shared" si="35"/>
        <v>0</v>
      </c>
    </row>
    <row r="176" spans="1:14" ht="13.5">
      <c r="A176">
        <v>107</v>
      </c>
      <c r="B176">
        <f t="shared" si="32"/>
        <v>4.2810981319759204E-14</v>
      </c>
      <c r="C176">
        <f>SUM(B$69:B175)</f>
        <v>3.999999999999828</v>
      </c>
      <c r="D176">
        <f t="shared" si="36"/>
        <v>3.999999999999828</v>
      </c>
      <c r="E176">
        <f t="shared" si="37"/>
        <v>3.564303458257249E-14</v>
      </c>
      <c r="F176">
        <f>SUM(E$69:E175)</f>
        <v>2.4448139272043643</v>
      </c>
      <c r="G176">
        <f t="shared" si="33"/>
        <v>91.41499999999999</v>
      </c>
      <c r="H176">
        <f t="shared" si="38"/>
        <v>17.585000000000008</v>
      </c>
      <c r="I176">
        <f t="shared" si="39"/>
        <v>90.41499999999999</v>
      </c>
      <c r="J176">
        <f t="shared" si="40"/>
        <v>0.8386697247706422</v>
      </c>
      <c r="K176">
        <f t="shared" si="34"/>
        <v>0.8325675675675674</v>
      </c>
      <c r="L176" s="66">
        <f>MAX(M$69:M176)</f>
        <v>0.6112034818011174</v>
      </c>
      <c r="M176">
        <f t="shared" si="41"/>
        <v>0.6112034818011174</v>
      </c>
      <c r="N176">
        <f t="shared" si="35"/>
        <v>0</v>
      </c>
    </row>
    <row r="177" spans="1:14" ht="13.5">
      <c r="A177">
        <v>108</v>
      </c>
      <c r="B177">
        <f t="shared" si="32"/>
        <v>3.2108235989819406E-14</v>
      </c>
      <c r="C177">
        <f>SUM(B$69:B176)</f>
        <v>3.9999999999998708</v>
      </c>
      <c r="D177">
        <f t="shared" si="36"/>
        <v>3.9999999999998708</v>
      </c>
      <c r="E177">
        <f t="shared" si="37"/>
        <v>2.6735840075094266E-14</v>
      </c>
      <c r="F177">
        <f>SUM(E$69:E176)</f>
        <v>2.4448139272044</v>
      </c>
      <c r="G177">
        <f t="shared" si="33"/>
        <v>92.25999999999999</v>
      </c>
      <c r="H177">
        <f t="shared" si="38"/>
        <v>17.74000000000001</v>
      </c>
      <c r="I177">
        <f t="shared" si="39"/>
        <v>91.25999999999999</v>
      </c>
      <c r="J177">
        <f t="shared" si="40"/>
        <v>0.8387272727272727</v>
      </c>
      <c r="K177">
        <f t="shared" si="34"/>
        <v>0.8326785714285714</v>
      </c>
      <c r="L177" s="66">
        <f>MAX(M$69:M177)</f>
        <v>0.6112034818011197</v>
      </c>
      <c r="M177">
        <f t="shared" si="41"/>
        <v>0.6112034818011197</v>
      </c>
      <c r="N177">
        <f t="shared" si="35"/>
        <v>0</v>
      </c>
    </row>
    <row r="178" spans="1:14" ht="13.5">
      <c r="A178">
        <v>109</v>
      </c>
      <c r="B178">
        <f t="shared" si="32"/>
        <v>2.4081176992364555E-14</v>
      </c>
      <c r="C178">
        <f>SUM(B$69:B177)</f>
        <v>3.9999999999999027</v>
      </c>
      <c r="D178">
        <f t="shared" si="36"/>
        <v>3.9999999999999027</v>
      </c>
      <c r="E178">
        <f t="shared" si="37"/>
        <v>2.005450584837581E-14</v>
      </c>
      <c r="F178">
        <f>SUM(E$69:E177)</f>
        <v>2.4448139272044265</v>
      </c>
      <c r="G178">
        <f t="shared" si="33"/>
        <v>93.105</v>
      </c>
      <c r="H178">
        <f t="shared" si="38"/>
        <v>17.894999999999996</v>
      </c>
      <c r="I178">
        <f t="shared" si="39"/>
        <v>92.105</v>
      </c>
      <c r="J178">
        <f t="shared" si="40"/>
        <v>0.8387837837837838</v>
      </c>
      <c r="K178">
        <f t="shared" si="34"/>
        <v>0.832787610619469</v>
      </c>
      <c r="L178" s="66">
        <f>MAX(M$69:M178)</f>
        <v>0.6112034818011215</v>
      </c>
      <c r="M178">
        <f t="shared" si="41"/>
        <v>0.6112034818011215</v>
      </c>
      <c r="N178">
        <f t="shared" si="35"/>
        <v>0</v>
      </c>
    </row>
    <row r="179" spans="1:14" ht="13.5">
      <c r="A179">
        <v>110</v>
      </c>
      <c r="B179">
        <f t="shared" si="32"/>
        <v>1.8060882744273417E-14</v>
      </c>
      <c r="C179">
        <f>SUM(B$69:B178)</f>
        <v>3.9999999999999267</v>
      </c>
      <c r="D179">
        <f t="shared" si="36"/>
        <v>3.9999999999999267</v>
      </c>
      <c r="E179">
        <f t="shared" si="37"/>
        <v>1.5042814180427726E-14</v>
      </c>
      <c r="F179">
        <f>SUM(E$69:E178)</f>
        <v>2.4448139272044465</v>
      </c>
      <c r="G179">
        <f t="shared" si="33"/>
        <v>93.95</v>
      </c>
      <c r="H179">
        <f t="shared" si="38"/>
        <v>18.049999999999997</v>
      </c>
      <c r="I179">
        <f t="shared" si="39"/>
        <v>92.95</v>
      </c>
      <c r="J179">
        <f t="shared" si="40"/>
        <v>0.8388392857142858</v>
      </c>
      <c r="K179">
        <f t="shared" si="34"/>
        <v>0.8328947368421052</v>
      </c>
      <c r="L179" s="66">
        <f>MAX(M$69:M179)</f>
        <v>0.6112034818011228</v>
      </c>
      <c r="M179">
        <f t="shared" si="41"/>
        <v>0.6112034818011228</v>
      </c>
      <c r="N179">
        <f t="shared" si="35"/>
        <v>0</v>
      </c>
    </row>
    <row r="180" spans="1:14" ht="13.5">
      <c r="A180">
        <v>111</v>
      </c>
      <c r="B180">
        <f t="shared" si="32"/>
        <v>1.3545662058205062E-14</v>
      </c>
      <c r="C180">
        <f>SUM(B$69:B179)</f>
        <v>3.999999999999945</v>
      </c>
      <c r="D180">
        <f t="shared" si="36"/>
        <v>3.999999999999945</v>
      </c>
      <c r="E180">
        <f t="shared" si="37"/>
        <v>1.1283536494484816E-14</v>
      </c>
      <c r="F180">
        <f>SUM(E$69:E179)</f>
        <v>2.4448139272044616</v>
      </c>
      <c r="G180">
        <f t="shared" si="33"/>
        <v>94.795</v>
      </c>
      <c r="H180">
        <f t="shared" si="38"/>
        <v>18.205</v>
      </c>
      <c r="I180">
        <f t="shared" si="39"/>
        <v>93.795</v>
      </c>
      <c r="J180">
        <f t="shared" si="40"/>
        <v>0.8388938053097346</v>
      </c>
      <c r="K180">
        <f t="shared" si="34"/>
        <v>0.833</v>
      </c>
      <c r="L180" s="66">
        <f>MAX(M$69:M180)</f>
        <v>0.6112034818011238</v>
      </c>
      <c r="M180">
        <f t="shared" si="41"/>
        <v>0.6112034818011238</v>
      </c>
      <c r="N180">
        <f t="shared" si="35"/>
        <v>0</v>
      </c>
    </row>
    <row r="181" spans="1:14" ht="13.5">
      <c r="A181">
        <v>112</v>
      </c>
      <c r="B181">
        <f t="shared" si="32"/>
        <v>1.0159246543653796E-14</v>
      </c>
      <c r="C181">
        <f>SUM(B$69:B180)</f>
        <v>3.9999999999999587</v>
      </c>
      <c r="D181">
        <f t="shared" si="36"/>
        <v>3.9999999999999587</v>
      </c>
      <c r="E181">
        <f t="shared" si="37"/>
        <v>8.463703327402611E-15</v>
      </c>
      <c r="F181">
        <f>SUM(E$69:E180)</f>
        <v>2.4448139272044727</v>
      </c>
      <c r="G181">
        <f t="shared" si="33"/>
        <v>95.64</v>
      </c>
      <c r="H181">
        <f t="shared" si="38"/>
        <v>18.36</v>
      </c>
      <c r="I181">
        <f t="shared" si="39"/>
        <v>94.64</v>
      </c>
      <c r="J181">
        <f t="shared" si="40"/>
        <v>0.8389473684210527</v>
      </c>
      <c r="K181">
        <f t="shared" si="34"/>
        <v>0.833103448275862</v>
      </c>
      <c r="L181" s="66">
        <f>MAX(M$69:M181)</f>
        <v>0.6112034818011245</v>
      </c>
      <c r="M181">
        <f t="shared" si="41"/>
        <v>0.6112034818011245</v>
      </c>
      <c r="N181">
        <f t="shared" si="35"/>
        <v>0</v>
      </c>
    </row>
    <row r="182" spans="1:14" ht="13.5">
      <c r="A182">
        <v>113</v>
      </c>
      <c r="B182">
        <f t="shared" si="32"/>
        <v>7.619434907740348E-15</v>
      </c>
      <c r="C182">
        <f>SUM(B$69:B181)</f>
        <v>3.999999999999969</v>
      </c>
      <c r="D182">
        <f t="shared" si="36"/>
        <v>3.999999999999969</v>
      </c>
      <c r="E182">
        <f t="shared" si="37"/>
        <v>6.348552239154425E-15</v>
      </c>
      <c r="F182">
        <f>SUM(E$69:E181)</f>
        <v>2.444813927204481</v>
      </c>
      <c r="G182">
        <f t="shared" si="33"/>
        <v>96.485</v>
      </c>
      <c r="H182">
        <f t="shared" si="38"/>
        <v>18.515</v>
      </c>
      <c r="I182">
        <f t="shared" si="39"/>
        <v>95.485</v>
      </c>
      <c r="J182">
        <f t="shared" si="40"/>
        <v>0.839</v>
      </c>
      <c r="K182">
        <f t="shared" si="34"/>
        <v>0.8332051282051282</v>
      </c>
      <c r="L182" s="66">
        <f>MAX(M$69:M182)</f>
        <v>0.611203481801125</v>
      </c>
      <c r="M182">
        <f t="shared" si="41"/>
        <v>0.611203481801125</v>
      </c>
      <c r="N182">
        <f t="shared" si="35"/>
        <v>0</v>
      </c>
    </row>
    <row r="183" spans="1:14" ht="13.5">
      <c r="A183">
        <v>114</v>
      </c>
      <c r="B183">
        <f t="shared" si="32"/>
        <v>5.71457618080526E-15</v>
      </c>
      <c r="C183">
        <f>SUM(B$69:B182)</f>
        <v>3.9999999999999765</v>
      </c>
      <c r="D183">
        <f t="shared" si="36"/>
        <v>3.9999999999999765</v>
      </c>
      <c r="E183">
        <f t="shared" si="37"/>
        <v>4.761985388632044E-15</v>
      </c>
      <c r="F183">
        <f>SUM(E$69:E182)</f>
        <v>2.4448139272044873</v>
      </c>
      <c r="G183">
        <f t="shared" si="33"/>
        <v>97.33</v>
      </c>
      <c r="H183">
        <f t="shared" si="38"/>
        <v>18.67</v>
      </c>
      <c r="I183">
        <f t="shared" si="39"/>
        <v>96.33</v>
      </c>
      <c r="J183">
        <f t="shared" si="40"/>
        <v>0.839051724137931</v>
      </c>
      <c r="K183">
        <f t="shared" si="34"/>
        <v>0.8333050847457627</v>
      </c>
      <c r="L183" s="66">
        <f>MAX(M$69:M183)</f>
        <v>0.6112034818011254</v>
      </c>
      <c r="M183">
        <f t="shared" si="41"/>
        <v>0.6112034818011254</v>
      </c>
      <c r="N183">
        <f t="shared" si="35"/>
        <v>0</v>
      </c>
    </row>
    <row r="184" spans="1:14" ht="13.5">
      <c r="A184">
        <v>115</v>
      </c>
      <c r="B184">
        <f t="shared" si="32"/>
        <v>4.285932135603945E-15</v>
      </c>
      <c r="C184">
        <f>SUM(B$69:B183)</f>
        <v>3.9999999999999822</v>
      </c>
      <c r="D184">
        <f t="shared" si="36"/>
        <v>3.9999999999999822</v>
      </c>
      <c r="E184">
        <f t="shared" si="37"/>
        <v>3.571910248306901E-15</v>
      </c>
      <c r="F184">
        <f>SUM(E$69:E183)</f>
        <v>2.444813927204492</v>
      </c>
      <c r="G184">
        <f t="shared" si="33"/>
        <v>98.175</v>
      </c>
      <c r="H184">
        <f t="shared" si="38"/>
        <v>18.825000000000003</v>
      </c>
      <c r="I184">
        <f t="shared" si="39"/>
        <v>97.175</v>
      </c>
      <c r="J184">
        <f t="shared" si="40"/>
        <v>0.8391025641025641</v>
      </c>
      <c r="K184">
        <f t="shared" si="34"/>
        <v>0.8334033613445377</v>
      </c>
      <c r="L184" s="66">
        <f>MAX(M$69:M184)</f>
        <v>0.6112034818011257</v>
      </c>
      <c r="M184">
        <f t="shared" si="41"/>
        <v>0.6112034818011257</v>
      </c>
      <c r="N184">
        <f t="shared" si="35"/>
        <v>0</v>
      </c>
    </row>
    <row r="185" spans="1:14" ht="13.5">
      <c r="A185">
        <v>116</v>
      </c>
      <c r="B185">
        <f t="shared" si="32"/>
        <v>3.2144491017029588E-15</v>
      </c>
      <c r="C185">
        <f>SUM(B$69:B184)</f>
        <v>3.9999999999999867</v>
      </c>
      <c r="D185">
        <f t="shared" si="36"/>
        <v>3.9999999999999867</v>
      </c>
      <c r="E185">
        <f t="shared" si="37"/>
        <v>2.6792433262694164E-15</v>
      </c>
      <c r="F185">
        <f>SUM(E$69:E184)</f>
        <v>2.4448139272044958</v>
      </c>
      <c r="G185">
        <f t="shared" si="33"/>
        <v>99.02</v>
      </c>
      <c r="H185">
        <f t="shared" si="38"/>
        <v>18.980000000000004</v>
      </c>
      <c r="I185">
        <f t="shared" si="39"/>
        <v>98.02</v>
      </c>
      <c r="J185">
        <f t="shared" si="40"/>
        <v>0.8391525423728813</v>
      </c>
      <c r="K185">
        <f t="shared" si="34"/>
        <v>0.8335</v>
      </c>
      <c r="L185" s="66">
        <f>MAX(M$69:M185)</f>
        <v>0.6112034818011259</v>
      </c>
      <c r="M185">
        <f t="shared" si="41"/>
        <v>0.6112034818011259</v>
      </c>
      <c r="N185">
        <f t="shared" si="35"/>
        <v>0</v>
      </c>
    </row>
    <row r="186" spans="1:14" ht="13.5">
      <c r="A186">
        <v>117</v>
      </c>
      <c r="B186">
        <f t="shared" si="32"/>
        <v>2.410836826277219E-15</v>
      </c>
      <c r="C186">
        <f>SUM(B$69:B185)</f>
        <v>3.99999999999999</v>
      </c>
      <c r="D186">
        <f t="shared" si="36"/>
        <v>3.99999999999999</v>
      </c>
      <c r="E186">
        <f t="shared" si="37"/>
        <v>2.009661623821915E-15</v>
      </c>
      <c r="F186">
        <f>SUM(E$69:E185)</f>
        <v>2.4448139272044984</v>
      </c>
      <c r="G186">
        <f t="shared" si="33"/>
        <v>99.865</v>
      </c>
      <c r="H186">
        <f t="shared" si="38"/>
        <v>19.135000000000005</v>
      </c>
      <c r="I186">
        <f t="shared" si="39"/>
        <v>98.865</v>
      </c>
      <c r="J186">
        <f t="shared" si="40"/>
        <v>0.8392016806722689</v>
      </c>
      <c r="K186">
        <f t="shared" si="34"/>
        <v>0.833595041322314</v>
      </c>
      <c r="L186" s="66">
        <f>MAX(M$69:M186)</f>
        <v>0.6112034818011262</v>
      </c>
      <c r="M186">
        <f t="shared" si="41"/>
        <v>0.6112034818011262</v>
      </c>
      <c r="N186">
        <f t="shared" si="35"/>
        <v>0</v>
      </c>
    </row>
    <row r="187" spans="1:14" ht="13.5">
      <c r="A187">
        <v>118</v>
      </c>
      <c r="B187">
        <f t="shared" si="32"/>
        <v>1.8081276197079145E-15</v>
      </c>
      <c r="C187">
        <f>SUM(B$69:B186)</f>
        <v>3.999999999999992</v>
      </c>
      <c r="D187">
        <f t="shared" si="36"/>
        <v>3.999999999999992</v>
      </c>
      <c r="E187">
        <f t="shared" si="37"/>
        <v>1.5074152475450162E-15</v>
      </c>
      <c r="F187">
        <f>SUM(E$69:E186)</f>
        <v>2.4448139272045006</v>
      </c>
      <c r="G187">
        <f t="shared" si="33"/>
        <v>100.71</v>
      </c>
      <c r="H187">
        <f t="shared" si="38"/>
        <v>19.290000000000006</v>
      </c>
      <c r="I187">
        <f t="shared" si="39"/>
        <v>99.71</v>
      </c>
      <c r="J187">
        <f t="shared" si="40"/>
        <v>0.8392499999999999</v>
      </c>
      <c r="K187">
        <f t="shared" si="34"/>
        <v>0.8336885245901638</v>
      </c>
      <c r="L187" s="66">
        <f>MAX(M$69:M187)</f>
        <v>0.6112034818011264</v>
      </c>
      <c r="M187">
        <f t="shared" si="41"/>
        <v>0.6112034818011264</v>
      </c>
      <c r="N187">
        <f t="shared" si="35"/>
        <v>0</v>
      </c>
    </row>
    <row r="188" spans="1:14" ht="13.5">
      <c r="A188">
        <v>119</v>
      </c>
      <c r="B188">
        <f t="shared" si="32"/>
        <v>1.3560957147809358E-15</v>
      </c>
      <c r="C188">
        <f>SUM(B$69:B187)</f>
        <v>3.999999999999994</v>
      </c>
      <c r="D188">
        <f t="shared" si="36"/>
        <v>3.999999999999994</v>
      </c>
      <c r="E188">
        <f t="shared" si="37"/>
        <v>1.1306861465801534E-15</v>
      </c>
      <c r="F188">
        <f>SUM(E$69:E187)</f>
        <v>2.444813927204502</v>
      </c>
      <c r="G188">
        <f t="shared" si="33"/>
        <v>101.55499999999999</v>
      </c>
      <c r="H188">
        <f t="shared" si="38"/>
        <v>19.445000000000007</v>
      </c>
      <c r="I188">
        <f t="shared" si="39"/>
        <v>100.55499999999999</v>
      </c>
      <c r="J188">
        <f t="shared" si="40"/>
        <v>0.8392975206611569</v>
      </c>
      <c r="K188">
        <f t="shared" si="34"/>
        <v>0.833780487804878</v>
      </c>
      <c r="L188" s="66">
        <f>MAX(M$69:M188)</f>
        <v>0.6112034818011265</v>
      </c>
      <c r="M188">
        <f t="shared" si="41"/>
        <v>0.6112034818011265</v>
      </c>
      <c r="N188">
        <f t="shared" si="35"/>
        <v>0</v>
      </c>
    </row>
    <row r="189" spans="1:14" ht="13.5">
      <c r="A189">
        <v>120</v>
      </c>
      <c r="B189">
        <f t="shared" si="32"/>
        <v>1.017071786085702E-15</v>
      </c>
      <c r="C189">
        <f>SUM(B$69:B188)</f>
        <v>3.999999999999995</v>
      </c>
      <c r="D189">
        <f t="shared" si="36"/>
        <v>3.999999999999995</v>
      </c>
      <c r="E189">
        <f t="shared" si="37"/>
        <v>8.48106634526303E-16</v>
      </c>
      <c r="F189">
        <f>SUM(E$69:E188)</f>
        <v>2.4448139272045033</v>
      </c>
      <c r="G189">
        <f t="shared" si="33"/>
        <v>102.39999999999999</v>
      </c>
      <c r="H189">
        <f t="shared" si="38"/>
        <v>19.60000000000001</v>
      </c>
      <c r="I189">
        <f t="shared" si="39"/>
        <v>101.39999999999999</v>
      </c>
      <c r="J189">
        <f t="shared" si="40"/>
        <v>0.8393442622950819</v>
      </c>
      <c r="K189">
        <f t="shared" si="34"/>
        <v>0.8338709677419354</v>
      </c>
      <c r="L189" s="66">
        <f>MAX(M$69:M189)</f>
        <v>0.6112034818011266</v>
      </c>
      <c r="M189">
        <f t="shared" si="41"/>
        <v>0.6112034818011266</v>
      </c>
      <c r="N189">
        <f t="shared" si="35"/>
        <v>1</v>
      </c>
    </row>
    <row r="190" spans="1:14" ht="13.5">
      <c r="A190">
        <v>121</v>
      </c>
      <c r="B190">
        <f t="shared" si="32"/>
        <v>7.628038395642764E-16</v>
      </c>
      <c r="C190">
        <f>SUM(B$69:B189)</f>
        <v>3.999999999999996</v>
      </c>
      <c r="D190">
        <f t="shared" si="36"/>
        <v>3.999999999999996</v>
      </c>
      <c r="E190">
        <f t="shared" si="37"/>
        <v>6.361478900430239E-16</v>
      </c>
      <c r="F190">
        <f>SUM(E$69:E189)</f>
        <v>2.444813927204504</v>
      </c>
      <c r="G190">
        <f t="shared" si="33"/>
        <v>103.24499999999999</v>
      </c>
      <c r="H190">
        <f t="shared" si="38"/>
        <v>19.75500000000001</v>
      </c>
      <c r="I190">
        <f t="shared" si="39"/>
        <v>102.24499999999999</v>
      </c>
      <c r="J190">
        <f t="shared" si="40"/>
        <v>0.839390243902439</v>
      </c>
      <c r="K190">
        <f t="shared" si="34"/>
        <v>0.8339599999999999</v>
      </c>
      <c r="L190" s="66">
        <f>MAX(M$69:M190)</f>
        <v>0.6112034818011267</v>
      </c>
      <c r="M190">
        <f t="shared" si="41"/>
        <v>0.6112034818011267</v>
      </c>
      <c r="N190">
        <f t="shared" si="35"/>
        <v>1</v>
      </c>
    </row>
    <row r="191" spans="1:14" ht="13.5">
      <c r="A191">
        <v>122</v>
      </c>
      <c r="B191">
        <f t="shared" si="32"/>
        <v>5.721028796732073E-16</v>
      </c>
      <c r="C191">
        <f>SUM(B$69:B190)</f>
        <v>3.999999999999997</v>
      </c>
      <c r="D191">
        <f t="shared" si="36"/>
        <v>3.999999999999997</v>
      </c>
      <c r="E191">
        <f t="shared" si="37"/>
        <v>4.771610446417251E-16</v>
      </c>
      <c r="F191">
        <f>SUM(E$69:E190)</f>
        <v>2.4448139272045046</v>
      </c>
      <c r="G191">
        <f t="shared" si="33"/>
        <v>104.09</v>
      </c>
      <c r="H191">
        <f t="shared" si="38"/>
        <v>19.909999999999997</v>
      </c>
      <c r="I191">
        <f t="shared" si="39"/>
        <v>103.09</v>
      </c>
      <c r="J191">
        <f t="shared" si="40"/>
        <v>0.8394354838709678</v>
      </c>
      <c r="K191">
        <f t="shared" si="34"/>
        <v>0.834047619047619</v>
      </c>
      <c r="L191" s="66">
        <f>MAX(M$69:M191)</f>
        <v>0.6112034818011267</v>
      </c>
      <c r="M191">
        <f t="shared" si="41"/>
        <v>0.6112034818011266</v>
      </c>
      <c r="N191">
        <f t="shared" si="35"/>
        <v>1</v>
      </c>
    </row>
    <row r="192" spans="1:14" ht="13.5">
      <c r="A192">
        <v>123</v>
      </c>
      <c r="B192">
        <f t="shared" si="32"/>
        <v>4.2907715975490553E-16</v>
      </c>
      <c r="C192">
        <f>SUM(B$69:B191)</f>
        <v>3.9999999999999973</v>
      </c>
      <c r="D192">
        <f t="shared" si="36"/>
        <v>3.9999999999999973</v>
      </c>
      <c r="E192">
        <f t="shared" si="37"/>
        <v>3.5790778676091275E-16</v>
      </c>
      <c r="F192">
        <f>SUM(E$69:E191)</f>
        <v>2.444813927204505</v>
      </c>
      <c r="G192">
        <f t="shared" si="33"/>
        <v>104.935</v>
      </c>
      <c r="H192">
        <f t="shared" si="38"/>
        <v>20.064999999999998</v>
      </c>
      <c r="I192">
        <f t="shared" si="39"/>
        <v>103.935</v>
      </c>
      <c r="J192">
        <f t="shared" si="40"/>
        <v>0.83948</v>
      </c>
      <c r="K192">
        <f t="shared" si="34"/>
        <v>0.8341338582677166</v>
      </c>
      <c r="L192" s="66">
        <f>MAX(M$69:M192)</f>
        <v>0.6112034818011267</v>
      </c>
      <c r="M192">
        <f t="shared" si="41"/>
        <v>0.6112034818011267</v>
      </c>
      <c r="N192">
        <f t="shared" si="35"/>
        <v>1</v>
      </c>
    </row>
    <row r="193" spans="1:14" ht="13.5">
      <c r="A193">
        <v>124</v>
      </c>
      <c r="B193">
        <f t="shared" si="32"/>
        <v>3.2180786981617912E-16</v>
      </c>
      <c r="C193">
        <f>SUM(B$69:B192)</f>
        <v>3.999999999999998</v>
      </c>
      <c r="D193">
        <f t="shared" si="36"/>
        <v>3.999999999999998</v>
      </c>
      <c r="E193">
        <f t="shared" si="37"/>
        <v>2.684581588982157E-16</v>
      </c>
      <c r="F193">
        <f>SUM(E$69:E192)</f>
        <v>2.4448139272045055</v>
      </c>
      <c r="G193">
        <f t="shared" si="33"/>
        <v>105.78</v>
      </c>
      <c r="H193">
        <f t="shared" si="38"/>
        <v>20.22</v>
      </c>
      <c r="I193">
        <f t="shared" si="39"/>
        <v>104.78</v>
      </c>
      <c r="J193">
        <f t="shared" si="40"/>
        <v>0.8395238095238096</v>
      </c>
      <c r="K193">
        <f t="shared" si="34"/>
        <v>0.83421875</v>
      </c>
      <c r="L193" s="66">
        <f>MAX(M$69:M193)</f>
        <v>0.6112034818011267</v>
      </c>
      <c r="M193">
        <f t="shared" si="41"/>
        <v>0.6112034818011267</v>
      </c>
      <c r="N193">
        <f t="shared" si="35"/>
        <v>1</v>
      </c>
    </row>
    <row r="194" spans="1:14" ht="13.5">
      <c r="A194">
        <v>125</v>
      </c>
      <c r="B194">
        <f t="shared" si="32"/>
        <v>2.413559023621343E-16</v>
      </c>
      <c r="C194">
        <f>SUM(B$69:B193)</f>
        <v>3.9999999999999982</v>
      </c>
      <c r="D194">
        <f t="shared" si="36"/>
        <v>3.9999999999999982</v>
      </c>
      <c r="E194">
        <f t="shared" si="37"/>
        <v>2.0136379063352486E-16</v>
      </c>
      <c r="F194">
        <f>SUM(E$69:E193)</f>
        <v>2.444813927204506</v>
      </c>
      <c r="G194">
        <f t="shared" si="33"/>
        <v>106.625</v>
      </c>
      <c r="H194">
        <f t="shared" si="38"/>
        <v>20.375</v>
      </c>
      <c r="I194">
        <f t="shared" si="39"/>
        <v>105.625</v>
      </c>
      <c r="J194">
        <f t="shared" si="40"/>
        <v>0.8395669291338582</v>
      </c>
      <c r="K194">
        <f t="shared" si="34"/>
        <v>0.8343023255813954</v>
      </c>
      <c r="L194" s="66">
        <f>MAX(M$69:M194)</f>
        <v>0.6112034818011267</v>
      </c>
      <c r="M194">
        <f t="shared" si="41"/>
        <v>0.6112034818011267</v>
      </c>
      <c r="N194">
        <f t="shared" si="35"/>
        <v>1</v>
      </c>
    </row>
    <row r="195" spans="1:14" ht="13.5">
      <c r="A195">
        <v>126</v>
      </c>
      <c r="B195">
        <f t="shared" si="32"/>
        <v>1.8101692677160076E-16</v>
      </c>
      <c r="C195">
        <f>SUM(B$69:B194)</f>
        <v>3.9999999999999987</v>
      </c>
      <c r="D195">
        <f t="shared" si="36"/>
        <v>3.9999999999999987</v>
      </c>
      <c r="E195">
        <f t="shared" si="37"/>
        <v>1.510377388224272E-16</v>
      </c>
      <c r="F195">
        <f>SUM(E$69:E194)</f>
        <v>2.444813927204506</v>
      </c>
      <c r="G195">
        <f t="shared" si="33"/>
        <v>107.47</v>
      </c>
      <c r="H195">
        <f t="shared" si="38"/>
        <v>20.53</v>
      </c>
      <c r="I195">
        <f t="shared" si="39"/>
        <v>106.47</v>
      </c>
      <c r="J195">
        <f t="shared" si="40"/>
        <v>0.839609375</v>
      </c>
      <c r="K195">
        <f t="shared" si="34"/>
        <v>0.8343846153846154</v>
      </c>
      <c r="L195" s="66">
        <f>MAX(M$69:M195)</f>
        <v>0.6112034818011267</v>
      </c>
      <c r="M195">
        <f t="shared" si="41"/>
        <v>0.6112034818011267</v>
      </c>
      <c r="N195">
        <f t="shared" si="35"/>
        <v>1</v>
      </c>
    </row>
    <row r="196" spans="1:14" ht="13.5">
      <c r="A196">
        <v>127</v>
      </c>
      <c r="B196">
        <f t="shared" si="32"/>
        <v>1.3576269507870055E-16</v>
      </c>
      <c r="C196">
        <f>SUM(B$69:B195)</f>
        <v>3.9999999999999987</v>
      </c>
      <c r="D196">
        <f t="shared" si="36"/>
        <v>3.9999999999999987</v>
      </c>
      <c r="E196">
        <f t="shared" si="37"/>
        <v>1.1328930543914618E-16</v>
      </c>
      <c r="F196">
        <f>SUM(E$69:E195)</f>
        <v>2.444813927204506</v>
      </c>
      <c r="G196">
        <f t="shared" si="33"/>
        <v>108.315</v>
      </c>
      <c r="H196">
        <f t="shared" si="38"/>
        <v>20.685000000000002</v>
      </c>
      <c r="I196">
        <f t="shared" si="39"/>
        <v>107.315</v>
      </c>
      <c r="J196">
        <f t="shared" si="40"/>
        <v>0.8396511627906976</v>
      </c>
      <c r="K196">
        <f t="shared" si="34"/>
        <v>0.8344656488549618</v>
      </c>
      <c r="L196" s="66">
        <f>MAX(M$69:M196)</f>
        <v>0.6112034818011267</v>
      </c>
      <c r="M196">
        <f t="shared" si="41"/>
        <v>0.6112034818011267</v>
      </c>
      <c r="N196">
        <f t="shared" si="35"/>
        <v>1</v>
      </c>
    </row>
    <row r="197" spans="1:14" ht="13.5">
      <c r="A197">
        <v>128</v>
      </c>
      <c r="B197">
        <f t="shared" si="32"/>
        <v>1.0182202130902542E-16</v>
      </c>
      <c r="C197">
        <f>SUM(B$69:B196)</f>
        <v>3.9999999999999987</v>
      </c>
      <c r="D197">
        <f t="shared" si="36"/>
        <v>3.9999999999999987</v>
      </c>
      <c r="E197">
        <f aca="true" t="shared" si="42" ref="E197:E226">K197*B197</f>
        <v>8.497510505607758E-17</v>
      </c>
      <c r="F197">
        <f>SUM(E$69:E196)</f>
        <v>2.444813927204506</v>
      </c>
      <c r="G197">
        <f t="shared" si="33"/>
        <v>109.16</v>
      </c>
      <c r="H197">
        <f aca="true" t="shared" si="43" ref="H197:H226">($H$67+A197-I197)</f>
        <v>20.840000000000003</v>
      </c>
      <c r="I197">
        <f aca="true" t="shared" si="44" ref="I197:I226">A197*$I$67</f>
        <v>108.16</v>
      </c>
      <c r="J197">
        <f aca="true" t="shared" si="45" ref="J197:J226">($G$67+I197)/(($G$67+I197)+($H$67+A197-I197))</f>
        <v>0.8396923076923076</v>
      </c>
      <c r="K197">
        <f t="shared" si="34"/>
        <v>0.8345454545454545</v>
      </c>
      <c r="L197" s="66">
        <f>MAX(M$69:M197)</f>
        <v>0.6112034818011267</v>
      </c>
      <c r="M197">
        <f aca="true" t="shared" si="46" ref="M197:M226">F197/D197</f>
        <v>0.6112034818011267</v>
      </c>
      <c r="N197">
        <f t="shared" si="35"/>
        <v>1</v>
      </c>
    </row>
    <row r="198" spans="1:14" ht="13.5">
      <c r="A198">
        <v>129</v>
      </c>
      <c r="B198">
        <f aca="true" t="shared" si="47" ref="B198:B226">$B$53^A198</f>
        <v>7.636651598176907E-17</v>
      </c>
      <c r="C198">
        <f>SUM(B$69:B197)</f>
        <v>3.9999999999999987</v>
      </c>
      <c r="D198">
        <f t="shared" si="36"/>
        <v>3.9999999999999987</v>
      </c>
      <c r="E198">
        <f t="shared" si="42"/>
        <v>6.373733162824267E-17</v>
      </c>
      <c r="F198">
        <f>SUM(E$69:E197)</f>
        <v>2.444813927204506</v>
      </c>
      <c r="G198">
        <f aca="true" t="shared" si="48" ref="G198:G226">$G$67+I198</f>
        <v>110.005</v>
      </c>
      <c r="H198">
        <f t="shared" si="43"/>
        <v>20.995000000000005</v>
      </c>
      <c r="I198">
        <f t="shared" si="44"/>
        <v>109.005</v>
      </c>
      <c r="J198">
        <f t="shared" si="45"/>
        <v>0.8397328244274809</v>
      </c>
      <c r="K198">
        <f aca="true" t="shared" si="49" ref="K198:K226">(G198+1)/(G198+H198+2)</f>
        <v>0.8346240601503759</v>
      </c>
      <c r="L198" s="66">
        <f>MAX(M$69:M198)</f>
        <v>0.6112034818011267</v>
      </c>
      <c r="M198">
        <f t="shared" si="46"/>
        <v>0.6112034818011267</v>
      </c>
      <c r="N198">
        <f aca="true" t="shared" si="50" ref="N198:N226">IF(M198=MAX($L$69:$L$226),1,0)</f>
        <v>1</v>
      </c>
    </row>
    <row r="199" spans="1:14" ht="13.5">
      <c r="A199">
        <v>130</v>
      </c>
      <c r="B199">
        <f t="shared" si="47"/>
        <v>5.72748869863268E-17</v>
      </c>
      <c r="C199">
        <f>SUM(B$69:B198)</f>
        <v>3.9999999999999987</v>
      </c>
      <c r="D199">
        <f aca="true" t="shared" si="51" ref="D199:D226">C199</f>
        <v>3.9999999999999987</v>
      </c>
      <c r="E199">
        <f t="shared" si="42"/>
        <v>4.780743365239293E-17</v>
      </c>
      <c r="F199">
        <f>SUM(E$69:E198)</f>
        <v>2.444813927204506</v>
      </c>
      <c r="G199">
        <f t="shared" si="48"/>
        <v>110.85</v>
      </c>
      <c r="H199">
        <f t="shared" si="43"/>
        <v>21.150000000000006</v>
      </c>
      <c r="I199">
        <f t="shared" si="44"/>
        <v>109.85</v>
      </c>
      <c r="J199">
        <f t="shared" si="45"/>
        <v>0.8397727272727272</v>
      </c>
      <c r="K199">
        <f t="shared" si="49"/>
        <v>0.8347014925373134</v>
      </c>
      <c r="L199" s="66">
        <f>MAX(M$69:M199)</f>
        <v>0.6112034818011267</v>
      </c>
      <c r="M199">
        <f t="shared" si="46"/>
        <v>0.6112034818011267</v>
      </c>
      <c r="N199">
        <f t="shared" si="50"/>
        <v>1</v>
      </c>
    </row>
    <row r="200" spans="1:14" ht="13.5">
      <c r="A200">
        <v>131</v>
      </c>
      <c r="B200">
        <f t="shared" si="47"/>
        <v>4.29561652397451E-17</v>
      </c>
      <c r="C200">
        <f>SUM(B$69:B199)</f>
        <v>3.9999999999999987</v>
      </c>
      <c r="D200">
        <f t="shared" si="51"/>
        <v>3.9999999999999987</v>
      </c>
      <c r="E200">
        <f t="shared" si="42"/>
        <v>3.5858852160689436E-17</v>
      </c>
      <c r="F200">
        <f>SUM(E$69:E199)</f>
        <v>2.444813927204506</v>
      </c>
      <c r="G200">
        <f t="shared" si="48"/>
        <v>111.695</v>
      </c>
      <c r="H200">
        <f t="shared" si="43"/>
        <v>21.305000000000007</v>
      </c>
      <c r="I200">
        <f t="shared" si="44"/>
        <v>110.695</v>
      </c>
      <c r="J200">
        <f t="shared" si="45"/>
        <v>0.8398120300751879</v>
      </c>
      <c r="K200">
        <f t="shared" si="49"/>
        <v>0.8347777777777777</v>
      </c>
      <c r="L200" s="66">
        <f>MAX(M$69:M200)</f>
        <v>0.6112034818011267</v>
      </c>
      <c r="M200">
        <f t="shared" si="46"/>
        <v>0.6112034818011267</v>
      </c>
      <c r="N200">
        <f t="shared" si="50"/>
        <v>1</v>
      </c>
    </row>
    <row r="201" spans="1:14" ht="13.5">
      <c r="A201">
        <v>132</v>
      </c>
      <c r="B201">
        <f t="shared" si="47"/>
        <v>3.221712392980882E-17</v>
      </c>
      <c r="C201">
        <f>SUM(B$69:B200)</f>
        <v>3.9999999999999987</v>
      </c>
      <c r="D201">
        <f t="shared" si="51"/>
        <v>3.9999999999999987</v>
      </c>
      <c r="E201">
        <f t="shared" si="42"/>
        <v>2.6896560669047747E-17</v>
      </c>
      <c r="F201">
        <f>SUM(E$69:E200)</f>
        <v>2.444813927204506</v>
      </c>
      <c r="G201">
        <f t="shared" si="48"/>
        <v>112.53999999999999</v>
      </c>
      <c r="H201">
        <f t="shared" si="43"/>
        <v>21.460000000000008</v>
      </c>
      <c r="I201">
        <f t="shared" si="44"/>
        <v>111.53999999999999</v>
      </c>
      <c r="J201">
        <f t="shared" si="45"/>
        <v>0.8398507462686566</v>
      </c>
      <c r="K201">
        <f t="shared" si="49"/>
        <v>0.8348529411764706</v>
      </c>
      <c r="L201" s="66">
        <f>MAX(M$69:M201)</f>
        <v>0.6112034818011267</v>
      </c>
      <c r="M201">
        <f t="shared" si="46"/>
        <v>0.6112034818011267</v>
      </c>
      <c r="N201">
        <f t="shared" si="50"/>
        <v>1</v>
      </c>
    </row>
    <row r="202" spans="1:14" ht="13.5">
      <c r="A202">
        <v>133</v>
      </c>
      <c r="B202">
        <f t="shared" si="47"/>
        <v>2.416284294735662E-17</v>
      </c>
      <c r="C202">
        <f>SUM(B$69:B201)</f>
        <v>3.9999999999999987</v>
      </c>
      <c r="D202">
        <f t="shared" si="51"/>
        <v>3.9999999999999987</v>
      </c>
      <c r="E202">
        <f t="shared" si="42"/>
        <v>2.0174210149878737E-17</v>
      </c>
      <c r="F202">
        <f>SUM(E$69:E201)</f>
        <v>2.444813927204506</v>
      </c>
      <c r="G202">
        <f t="shared" si="48"/>
        <v>113.38499999999999</v>
      </c>
      <c r="H202">
        <f t="shared" si="43"/>
        <v>21.61500000000001</v>
      </c>
      <c r="I202">
        <f t="shared" si="44"/>
        <v>112.38499999999999</v>
      </c>
      <c r="J202">
        <f t="shared" si="45"/>
        <v>0.8398888888888888</v>
      </c>
      <c r="K202">
        <f t="shared" si="49"/>
        <v>0.83492700729927</v>
      </c>
      <c r="L202" s="66">
        <f>MAX(M$69:M202)</f>
        <v>0.6112034818011267</v>
      </c>
      <c r="M202">
        <f t="shared" si="46"/>
        <v>0.6112034818011267</v>
      </c>
      <c r="N202">
        <f t="shared" si="50"/>
        <v>1</v>
      </c>
    </row>
    <row r="203" spans="1:14" ht="13.5">
      <c r="A203">
        <v>134</v>
      </c>
      <c r="B203">
        <f t="shared" si="47"/>
        <v>1.8122132210517464E-17</v>
      </c>
      <c r="C203">
        <f>SUM(B$69:B202)</f>
        <v>3.9999999999999987</v>
      </c>
      <c r="D203">
        <f t="shared" si="51"/>
        <v>3.9999999999999987</v>
      </c>
      <c r="E203">
        <f t="shared" si="42"/>
        <v>1.5131980395782082E-17</v>
      </c>
      <c r="F203">
        <f>SUM(E$69:E202)</f>
        <v>2.444813927204506</v>
      </c>
      <c r="G203">
        <f t="shared" si="48"/>
        <v>114.22999999999999</v>
      </c>
      <c r="H203">
        <f t="shared" si="43"/>
        <v>21.77000000000001</v>
      </c>
      <c r="I203">
        <f t="shared" si="44"/>
        <v>113.22999999999999</v>
      </c>
      <c r="J203">
        <f t="shared" si="45"/>
        <v>0.8399264705882352</v>
      </c>
      <c r="K203">
        <f t="shared" si="49"/>
        <v>0.835</v>
      </c>
      <c r="L203" s="66">
        <f>MAX(M$69:M203)</f>
        <v>0.6112034818011267</v>
      </c>
      <c r="M203">
        <f t="shared" si="46"/>
        <v>0.6112034818011267</v>
      </c>
      <c r="N203">
        <f t="shared" si="50"/>
        <v>1</v>
      </c>
    </row>
    <row r="204" spans="1:14" ht="13.5">
      <c r="A204">
        <v>135</v>
      </c>
      <c r="B204">
        <f t="shared" si="47"/>
        <v>1.3591599157888099E-17</v>
      </c>
      <c r="C204">
        <f>SUM(B$69:B203)</f>
        <v>3.9999999999999987</v>
      </c>
      <c r="D204">
        <f t="shared" si="51"/>
        <v>3.9999999999999987</v>
      </c>
      <c r="E204">
        <f t="shared" si="42"/>
        <v>1.134996310972562E-17</v>
      </c>
      <c r="F204">
        <f>SUM(E$69:E203)</f>
        <v>2.444813927204506</v>
      </c>
      <c r="G204">
        <f t="shared" si="48"/>
        <v>115.075</v>
      </c>
      <c r="H204">
        <f t="shared" si="43"/>
        <v>21.924999999999997</v>
      </c>
      <c r="I204">
        <f t="shared" si="44"/>
        <v>114.075</v>
      </c>
      <c r="J204">
        <f t="shared" si="45"/>
        <v>0.839963503649635</v>
      </c>
      <c r="K204">
        <f t="shared" si="49"/>
        <v>0.8350719424460432</v>
      </c>
      <c r="L204" s="66">
        <f>MAX(M$69:M204)</f>
        <v>0.6112034818011267</v>
      </c>
      <c r="M204">
        <f t="shared" si="46"/>
        <v>0.6112034818011267</v>
      </c>
      <c r="N204">
        <f t="shared" si="50"/>
        <v>1</v>
      </c>
    </row>
    <row r="205" spans="1:14" ht="13.5">
      <c r="A205">
        <v>136</v>
      </c>
      <c r="B205">
        <f t="shared" si="47"/>
        <v>1.0193699368416073E-17</v>
      </c>
      <c r="C205">
        <f>SUM(B$69:B204)</f>
        <v>3.9999999999999987</v>
      </c>
      <c r="D205">
        <f t="shared" si="51"/>
        <v>3.9999999999999987</v>
      </c>
      <c r="E205">
        <f t="shared" si="42"/>
        <v>8.513195215394338E-18</v>
      </c>
      <c r="F205">
        <f>SUM(E$69:E204)</f>
        <v>2.444813927204506</v>
      </c>
      <c r="G205">
        <f t="shared" si="48"/>
        <v>115.92</v>
      </c>
      <c r="H205">
        <f t="shared" si="43"/>
        <v>22.08</v>
      </c>
      <c r="I205">
        <f t="shared" si="44"/>
        <v>114.92</v>
      </c>
      <c r="J205">
        <f t="shared" si="45"/>
        <v>0.84</v>
      </c>
      <c r="K205">
        <f t="shared" si="49"/>
        <v>0.8351428571428572</v>
      </c>
      <c r="L205" s="66">
        <f>MAX(M$69:M205)</f>
        <v>0.6112034818011267</v>
      </c>
      <c r="M205">
        <f t="shared" si="46"/>
        <v>0.6112034818011267</v>
      </c>
      <c r="N205">
        <f t="shared" si="50"/>
        <v>1</v>
      </c>
    </row>
    <row r="206" spans="1:14" ht="13.5">
      <c r="A206">
        <v>137</v>
      </c>
      <c r="B206">
        <f t="shared" si="47"/>
        <v>7.645274526312055E-18</v>
      </c>
      <c r="C206">
        <f>SUM(B$69:B205)</f>
        <v>3.9999999999999987</v>
      </c>
      <c r="D206">
        <f t="shared" si="51"/>
        <v>3.9999999999999987</v>
      </c>
      <c r="E206">
        <f t="shared" si="42"/>
        <v>6.385430883625101E-18</v>
      </c>
      <c r="F206">
        <f>SUM(E$69:E205)</f>
        <v>2.444813927204506</v>
      </c>
      <c r="G206">
        <f t="shared" si="48"/>
        <v>116.765</v>
      </c>
      <c r="H206">
        <f t="shared" si="43"/>
        <v>22.235</v>
      </c>
      <c r="I206">
        <f t="shared" si="44"/>
        <v>115.765</v>
      </c>
      <c r="J206">
        <f t="shared" si="45"/>
        <v>0.8400359712230215</v>
      </c>
      <c r="K206">
        <f t="shared" si="49"/>
        <v>0.8352127659574469</v>
      </c>
      <c r="L206" s="66">
        <f>MAX(M$69:M206)</f>
        <v>0.6112034818011267</v>
      </c>
      <c r="M206">
        <f t="shared" si="46"/>
        <v>0.6112034818011267</v>
      </c>
      <c r="N206">
        <f t="shared" si="50"/>
        <v>1</v>
      </c>
    </row>
    <row r="207" spans="1:14" ht="13.5">
      <c r="A207">
        <v>138</v>
      </c>
      <c r="B207">
        <f t="shared" si="47"/>
        <v>5.7339558947340414E-18</v>
      </c>
      <c r="C207">
        <f>SUM(B$69:B206)</f>
        <v>3.9999999999999987</v>
      </c>
      <c r="D207">
        <f t="shared" si="51"/>
        <v>3.9999999999999987</v>
      </c>
      <c r="E207">
        <f t="shared" si="42"/>
        <v>4.789468370946512E-18</v>
      </c>
      <c r="F207">
        <f>SUM(E$69:E206)</f>
        <v>2.444813927204506</v>
      </c>
      <c r="G207">
        <f t="shared" si="48"/>
        <v>117.61</v>
      </c>
      <c r="H207">
        <f t="shared" si="43"/>
        <v>22.39</v>
      </c>
      <c r="I207">
        <f t="shared" si="44"/>
        <v>116.61</v>
      </c>
      <c r="J207">
        <f t="shared" si="45"/>
        <v>0.8400714285714286</v>
      </c>
      <c r="K207">
        <f t="shared" si="49"/>
        <v>0.8352816901408451</v>
      </c>
      <c r="L207" s="66">
        <f>MAX(M$69:M207)</f>
        <v>0.6112034818011267</v>
      </c>
      <c r="M207">
        <f t="shared" si="46"/>
        <v>0.6112034818011267</v>
      </c>
      <c r="N207">
        <f t="shared" si="50"/>
        <v>1</v>
      </c>
    </row>
    <row r="208" spans="1:14" ht="13.5">
      <c r="A208">
        <v>139</v>
      </c>
      <c r="B208">
        <f t="shared" si="47"/>
        <v>4.300466921050531E-18</v>
      </c>
      <c r="C208">
        <f>SUM(B$69:B207)</f>
        <v>3.9999999999999987</v>
      </c>
      <c r="D208">
        <f t="shared" si="51"/>
        <v>3.9999999999999987</v>
      </c>
      <c r="E208">
        <f t="shared" si="42"/>
        <v>3.592393538839799E-18</v>
      </c>
      <c r="F208">
        <f>SUM(E$69:E207)</f>
        <v>2.444813927204506</v>
      </c>
      <c r="G208">
        <f t="shared" si="48"/>
        <v>118.455</v>
      </c>
      <c r="H208">
        <f t="shared" si="43"/>
        <v>22.545</v>
      </c>
      <c r="I208">
        <f t="shared" si="44"/>
        <v>117.455</v>
      </c>
      <c r="J208">
        <f t="shared" si="45"/>
        <v>0.8401063829787234</v>
      </c>
      <c r="K208">
        <f t="shared" si="49"/>
        <v>0.8353496503496504</v>
      </c>
      <c r="L208" s="66">
        <f>MAX(M$69:M208)</f>
        <v>0.6112034818011267</v>
      </c>
      <c r="M208">
        <f t="shared" si="46"/>
        <v>0.6112034818011267</v>
      </c>
      <c r="N208">
        <f t="shared" si="50"/>
        <v>1</v>
      </c>
    </row>
    <row r="209" spans="1:14" ht="13.5">
      <c r="A209">
        <v>140</v>
      </c>
      <c r="B209">
        <f t="shared" si="47"/>
        <v>3.2253501907878984E-18</v>
      </c>
      <c r="C209">
        <f>SUM(B$69:B208)</f>
        <v>3.9999999999999987</v>
      </c>
      <c r="D209">
        <f t="shared" si="51"/>
        <v>3.9999999999999987</v>
      </c>
      <c r="E209">
        <f t="shared" si="42"/>
        <v>2.6945113052207237E-18</v>
      </c>
      <c r="F209">
        <f>SUM(E$69:E208)</f>
        <v>2.444813927204506</v>
      </c>
      <c r="G209">
        <f t="shared" si="48"/>
        <v>119.3</v>
      </c>
      <c r="H209">
        <f t="shared" si="43"/>
        <v>22.700000000000003</v>
      </c>
      <c r="I209">
        <f t="shared" si="44"/>
        <v>118.3</v>
      </c>
      <c r="J209">
        <f t="shared" si="45"/>
        <v>0.8401408450704225</v>
      </c>
      <c r="K209">
        <f t="shared" si="49"/>
        <v>0.8354166666666667</v>
      </c>
      <c r="L209" s="66">
        <f>MAX(M$69:M209)</f>
        <v>0.6112034818011267</v>
      </c>
      <c r="M209">
        <f t="shared" si="46"/>
        <v>0.6112034818011267</v>
      </c>
      <c r="N209">
        <f t="shared" si="50"/>
        <v>1</v>
      </c>
    </row>
    <row r="210" spans="1:14" ht="13.5">
      <c r="A210">
        <v>141</v>
      </c>
      <c r="B210">
        <f t="shared" si="47"/>
        <v>2.419012643090924E-18</v>
      </c>
      <c r="C210">
        <f>SUM(B$69:B209)</f>
        <v>3.9999999999999987</v>
      </c>
      <c r="D210">
        <f t="shared" si="51"/>
        <v>3.9999999999999987</v>
      </c>
      <c r="E210">
        <f t="shared" si="42"/>
        <v>2.021043356187931E-18</v>
      </c>
      <c r="F210">
        <f>SUM(E$69:E209)</f>
        <v>2.444813927204506</v>
      </c>
      <c r="G210">
        <f t="shared" si="48"/>
        <v>120.145</v>
      </c>
      <c r="H210">
        <f t="shared" si="43"/>
        <v>22.855000000000004</v>
      </c>
      <c r="I210">
        <f t="shared" si="44"/>
        <v>119.145</v>
      </c>
      <c r="J210">
        <f t="shared" si="45"/>
        <v>0.8401748251748251</v>
      </c>
      <c r="K210">
        <f t="shared" si="49"/>
        <v>0.8354827586206897</v>
      </c>
      <c r="L210" s="66">
        <f>MAX(M$69:M210)</f>
        <v>0.6112034818011267</v>
      </c>
      <c r="M210">
        <f t="shared" si="46"/>
        <v>0.6112034818011267</v>
      </c>
      <c r="N210">
        <f t="shared" si="50"/>
        <v>1</v>
      </c>
    </row>
    <row r="211" spans="1:14" ht="13.5">
      <c r="A211">
        <v>142</v>
      </c>
      <c r="B211">
        <f t="shared" si="47"/>
        <v>1.8142594823181926E-18</v>
      </c>
      <c r="C211">
        <f>SUM(B$69:B210)</f>
        <v>3.9999999999999987</v>
      </c>
      <c r="D211">
        <f t="shared" si="51"/>
        <v>3.9999999999999987</v>
      </c>
      <c r="E211">
        <f t="shared" si="42"/>
        <v>1.5159007825205225E-18</v>
      </c>
      <c r="F211">
        <f>SUM(E$69:E210)</f>
        <v>2.444813927204506</v>
      </c>
      <c r="G211">
        <f t="shared" si="48"/>
        <v>120.99</v>
      </c>
      <c r="H211">
        <f t="shared" si="43"/>
        <v>23.010000000000005</v>
      </c>
      <c r="I211">
        <f t="shared" si="44"/>
        <v>119.99</v>
      </c>
      <c r="J211">
        <f t="shared" si="45"/>
        <v>0.8402083333333333</v>
      </c>
      <c r="K211">
        <f t="shared" si="49"/>
        <v>0.8355479452054794</v>
      </c>
      <c r="L211" s="66">
        <f>MAX(M$69:M211)</f>
        <v>0.6112034818011267</v>
      </c>
      <c r="M211">
        <f t="shared" si="46"/>
        <v>0.6112034818011267</v>
      </c>
      <c r="N211">
        <f t="shared" si="50"/>
        <v>1</v>
      </c>
    </row>
    <row r="212" spans="1:14" ht="13.5">
      <c r="A212">
        <v>143</v>
      </c>
      <c r="B212">
        <f t="shared" si="47"/>
        <v>1.3606946117386445E-18</v>
      </c>
      <c r="C212">
        <f>SUM(B$69:B211)</f>
        <v>3.9999999999999987</v>
      </c>
      <c r="D212">
        <f t="shared" si="51"/>
        <v>3.9999999999999987</v>
      </c>
      <c r="E212">
        <f t="shared" si="42"/>
        <v>1.1370130791354857E-18</v>
      </c>
      <c r="F212">
        <f>SUM(E$69:E211)</f>
        <v>2.444813927204506</v>
      </c>
      <c r="G212">
        <f t="shared" si="48"/>
        <v>121.835</v>
      </c>
      <c r="H212">
        <f t="shared" si="43"/>
        <v>23.165000000000006</v>
      </c>
      <c r="I212">
        <f t="shared" si="44"/>
        <v>120.835</v>
      </c>
      <c r="J212">
        <f t="shared" si="45"/>
        <v>0.8402413793103448</v>
      </c>
      <c r="K212">
        <f t="shared" si="49"/>
        <v>0.8356122448979592</v>
      </c>
      <c r="L212" s="66">
        <f>MAX(M$69:M212)</f>
        <v>0.6112034818011267</v>
      </c>
      <c r="M212">
        <f t="shared" si="46"/>
        <v>0.6112034818011267</v>
      </c>
      <c r="N212">
        <f t="shared" si="50"/>
        <v>1</v>
      </c>
    </row>
    <row r="213" spans="1:14" ht="13.5">
      <c r="A213">
        <v>144</v>
      </c>
      <c r="B213">
        <f t="shared" si="47"/>
        <v>1.0205209588039834E-18</v>
      </c>
      <c r="C213">
        <f>SUM(B$69:B212)</f>
        <v>3.9999999999999987</v>
      </c>
      <c r="D213">
        <f t="shared" si="51"/>
        <v>3.9999999999999987</v>
      </c>
      <c r="E213">
        <f t="shared" si="42"/>
        <v>8.528245417897071E-19</v>
      </c>
      <c r="F213">
        <f>SUM(E$69:E212)</f>
        <v>2.444813927204506</v>
      </c>
      <c r="G213">
        <f t="shared" si="48"/>
        <v>122.67999999999999</v>
      </c>
      <c r="H213">
        <f t="shared" si="43"/>
        <v>23.320000000000007</v>
      </c>
      <c r="I213">
        <f t="shared" si="44"/>
        <v>121.67999999999999</v>
      </c>
      <c r="J213">
        <f t="shared" si="45"/>
        <v>0.8402739726027397</v>
      </c>
      <c r="K213">
        <f t="shared" si="49"/>
        <v>0.8356756756756756</v>
      </c>
      <c r="L213" s="66">
        <f>MAX(M$69:M213)</f>
        <v>0.6112034818011267</v>
      </c>
      <c r="M213">
        <f t="shared" si="46"/>
        <v>0.6112034818011267</v>
      </c>
      <c r="N213">
        <f t="shared" si="50"/>
        <v>1</v>
      </c>
    </row>
    <row r="214" spans="1:14" ht="13.5">
      <c r="A214">
        <v>145</v>
      </c>
      <c r="B214">
        <f t="shared" si="47"/>
        <v>7.653907191029876E-19</v>
      </c>
      <c r="C214">
        <f>SUM(B$69:B213)</f>
        <v>3.9999999999999987</v>
      </c>
      <c r="D214">
        <f t="shared" si="51"/>
        <v>3.9999999999999987</v>
      </c>
      <c r="E214">
        <f t="shared" si="42"/>
        <v>6.396663040020103E-19</v>
      </c>
      <c r="F214">
        <f>SUM(E$69:E213)</f>
        <v>2.444813927204506</v>
      </c>
      <c r="G214">
        <f t="shared" si="48"/>
        <v>123.52499999999999</v>
      </c>
      <c r="H214">
        <f t="shared" si="43"/>
        <v>23.47500000000001</v>
      </c>
      <c r="I214">
        <f t="shared" si="44"/>
        <v>122.52499999999999</v>
      </c>
      <c r="J214">
        <f t="shared" si="45"/>
        <v>0.8403061224489795</v>
      </c>
      <c r="K214">
        <f t="shared" si="49"/>
        <v>0.835738255033557</v>
      </c>
      <c r="L214" s="66">
        <f>MAX(M$69:M214)</f>
        <v>0.6112034818011267</v>
      </c>
      <c r="M214">
        <f t="shared" si="46"/>
        <v>0.6112034818011267</v>
      </c>
      <c r="N214">
        <f t="shared" si="50"/>
        <v>1</v>
      </c>
    </row>
    <row r="215" spans="1:14" ht="13.5">
      <c r="A215">
        <v>146</v>
      </c>
      <c r="B215">
        <f t="shared" si="47"/>
        <v>5.740430393272407E-19</v>
      </c>
      <c r="C215">
        <f>SUM(B$69:B214)</f>
        <v>3.9999999999999987</v>
      </c>
      <c r="D215">
        <f t="shared" si="51"/>
        <v>3.9999999999999987</v>
      </c>
      <c r="E215">
        <f t="shared" si="42"/>
        <v>4.797851722697078E-19</v>
      </c>
      <c r="F215">
        <f>SUM(E$69:E214)</f>
        <v>2.444813927204506</v>
      </c>
      <c r="G215">
        <f t="shared" si="48"/>
        <v>124.36999999999999</v>
      </c>
      <c r="H215">
        <f t="shared" si="43"/>
        <v>23.63000000000001</v>
      </c>
      <c r="I215">
        <f t="shared" si="44"/>
        <v>123.36999999999999</v>
      </c>
      <c r="J215">
        <f t="shared" si="45"/>
        <v>0.8403378378378378</v>
      </c>
      <c r="K215">
        <f t="shared" si="49"/>
        <v>0.8358</v>
      </c>
      <c r="L215" s="66">
        <f>MAX(M$69:M215)</f>
        <v>0.6112034818011267</v>
      </c>
      <c r="M215">
        <f t="shared" si="46"/>
        <v>0.6112034818011267</v>
      </c>
      <c r="N215">
        <f t="shared" si="50"/>
        <v>1</v>
      </c>
    </row>
    <row r="216" spans="1:14" ht="13.5">
      <c r="A216">
        <v>147</v>
      </c>
      <c r="B216">
        <f t="shared" si="47"/>
        <v>4.305322794954305E-19</v>
      </c>
      <c r="C216">
        <f>SUM(B$69:B215)</f>
        <v>3.9999999999999987</v>
      </c>
      <c r="D216">
        <f t="shared" si="51"/>
        <v>3.9999999999999987</v>
      </c>
      <c r="E216">
        <f t="shared" si="42"/>
        <v>3.598651103080514E-19</v>
      </c>
      <c r="F216">
        <f>SUM(E$69:E215)</f>
        <v>2.444813927204506</v>
      </c>
      <c r="G216">
        <f t="shared" si="48"/>
        <v>125.21499999999999</v>
      </c>
      <c r="H216">
        <f t="shared" si="43"/>
        <v>23.78500000000001</v>
      </c>
      <c r="I216">
        <f t="shared" si="44"/>
        <v>124.21499999999999</v>
      </c>
      <c r="J216">
        <f t="shared" si="45"/>
        <v>0.8403691275167785</v>
      </c>
      <c r="K216">
        <f t="shared" si="49"/>
        <v>0.8358609271523179</v>
      </c>
      <c r="L216" s="66">
        <f>MAX(M$69:M216)</f>
        <v>0.6112034818011267</v>
      </c>
      <c r="M216">
        <f t="shared" si="46"/>
        <v>0.6112034818011267</v>
      </c>
      <c r="N216">
        <f t="shared" si="50"/>
        <v>1</v>
      </c>
    </row>
    <row r="217" spans="1:14" ht="13.5">
      <c r="A217">
        <v>148</v>
      </c>
      <c r="B217">
        <f t="shared" si="47"/>
        <v>3.228992096215729E-19</v>
      </c>
      <c r="C217">
        <f>SUM(B$69:B216)</f>
        <v>3.9999999999999987</v>
      </c>
      <c r="D217">
        <f t="shared" si="51"/>
        <v>3.9999999999999987</v>
      </c>
      <c r="E217">
        <f t="shared" si="42"/>
        <v>2.6991824720077012E-19</v>
      </c>
      <c r="F217">
        <f>SUM(E$69:E216)</f>
        <v>2.444813927204506</v>
      </c>
      <c r="G217">
        <f t="shared" si="48"/>
        <v>126.06</v>
      </c>
      <c r="H217">
        <f t="shared" si="43"/>
        <v>23.939999999999998</v>
      </c>
      <c r="I217">
        <f t="shared" si="44"/>
        <v>125.06</v>
      </c>
      <c r="J217">
        <f t="shared" si="45"/>
        <v>0.8404</v>
      </c>
      <c r="K217">
        <f t="shared" si="49"/>
        <v>0.835921052631579</v>
      </c>
      <c r="L217" s="66">
        <f>MAX(M$69:M217)</f>
        <v>0.6112034818011267</v>
      </c>
      <c r="M217">
        <f t="shared" si="46"/>
        <v>0.6112034818011267</v>
      </c>
      <c r="N217">
        <f t="shared" si="50"/>
        <v>1</v>
      </c>
    </row>
    <row r="218" spans="1:14" ht="13.5">
      <c r="A218">
        <v>149</v>
      </c>
      <c r="B218">
        <f t="shared" si="47"/>
        <v>2.4217440721617966E-19</v>
      </c>
      <c r="C218">
        <f>SUM(B$69:B217)</f>
        <v>3.9999999999999987</v>
      </c>
      <c r="D218">
        <f t="shared" si="51"/>
        <v>3.9999999999999987</v>
      </c>
      <c r="E218">
        <f t="shared" si="42"/>
        <v>2.0245305591493764E-19</v>
      </c>
      <c r="F218">
        <f>SUM(E$69:E217)</f>
        <v>2.444813927204506</v>
      </c>
      <c r="G218">
        <f t="shared" si="48"/>
        <v>126.905</v>
      </c>
      <c r="H218">
        <f t="shared" si="43"/>
        <v>24.095</v>
      </c>
      <c r="I218">
        <f t="shared" si="44"/>
        <v>125.905</v>
      </c>
      <c r="J218">
        <f t="shared" si="45"/>
        <v>0.8404304635761589</v>
      </c>
      <c r="K218">
        <f t="shared" si="49"/>
        <v>0.8359803921568627</v>
      </c>
      <c r="L218" s="66">
        <f>MAX(M$69:M218)</f>
        <v>0.6112034818011267</v>
      </c>
      <c r="M218">
        <f t="shared" si="46"/>
        <v>0.6112034818011267</v>
      </c>
      <c r="N218">
        <f t="shared" si="50"/>
        <v>1</v>
      </c>
    </row>
    <row r="219" spans="1:14" ht="13.5">
      <c r="A219">
        <v>150</v>
      </c>
      <c r="B219">
        <f t="shared" si="47"/>
        <v>1.8163080541213476E-19</v>
      </c>
      <c r="C219">
        <f>SUM(B$69:B218)</f>
        <v>3.9999999999999987</v>
      </c>
      <c r="D219">
        <f t="shared" si="51"/>
        <v>3.9999999999999987</v>
      </c>
      <c r="E219">
        <f t="shared" si="42"/>
        <v>1.5185042984943085E-19</v>
      </c>
      <c r="F219">
        <f>SUM(E$69:E218)</f>
        <v>2.444813927204506</v>
      </c>
      <c r="G219">
        <f t="shared" si="48"/>
        <v>127.75</v>
      </c>
      <c r="H219">
        <f t="shared" si="43"/>
        <v>24.25</v>
      </c>
      <c r="I219">
        <f t="shared" si="44"/>
        <v>126.75</v>
      </c>
      <c r="J219">
        <f t="shared" si="45"/>
        <v>0.8404605263157895</v>
      </c>
      <c r="K219">
        <f t="shared" si="49"/>
        <v>0.836038961038961</v>
      </c>
      <c r="L219" s="66">
        <f>MAX(M$69:M219)</f>
        <v>0.6112034818011267</v>
      </c>
      <c r="M219">
        <f t="shared" si="46"/>
        <v>0.6112034818011267</v>
      </c>
      <c r="N219">
        <f t="shared" si="50"/>
        <v>1</v>
      </c>
    </row>
    <row r="220" spans="1:14" ht="13.5">
      <c r="A220">
        <v>151</v>
      </c>
      <c r="B220">
        <f t="shared" si="47"/>
        <v>1.3622310405910106E-19</v>
      </c>
      <c r="C220">
        <f>SUM(B$69:B219)</f>
        <v>3.9999999999999987</v>
      </c>
      <c r="D220">
        <f t="shared" si="51"/>
        <v>3.9999999999999987</v>
      </c>
      <c r="E220">
        <f t="shared" si="42"/>
        <v>1.1389569787444647E-19</v>
      </c>
      <c r="F220">
        <f>SUM(E$69:E219)</f>
        <v>2.444813927204506</v>
      </c>
      <c r="G220">
        <f t="shared" si="48"/>
        <v>128.595</v>
      </c>
      <c r="H220">
        <f t="shared" si="43"/>
        <v>24.405</v>
      </c>
      <c r="I220">
        <f t="shared" si="44"/>
        <v>127.595</v>
      </c>
      <c r="J220">
        <f t="shared" si="45"/>
        <v>0.8404901960784313</v>
      </c>
      <c r="K220">
        <f t="shared" si="49"/>
        <v>0.8360967741935483</v>
      </c>
      <c r="L220" s="66">
        <f>MAX(M$69:M220)</f>
        <v>0.6112034818011267</v>
      </c>
      <c r="M220">
        <f t="shared" si="46"/>
        <v>0.6112034818011267</v>
      </c>
      <c r="N220">
        <f t="shared" si="50"/>
        <v>1</v>
      </c>
    </row>
    <row r="221" spans="1:14" ht="13.5">
      <c r="A221">
        <v>152</v>
      </c>
      <c r="B221">
        <f t="shared" si="47"/>
        <v>1.0216732804432579E-19</v>
      </c>
      <c r="C221">
        <f>SUM(B$69:B220)</f>
        <v>3.9999999999999987</v>
      </c>
      <c r="D221">
        <f t="shared" si="51"/>
        <v>3.9999999999999987</v>
      </c>
      <c r="E221">
        <f t="shared" si="42"/>
        <v>8.542760429552471E-20</v>
      </c>
      <c r="F221">
        <f>SUM(E$69:E220)</f>
        <v>2.444813927204506</v>
      </c>
      <c r="G221">
        <f t="shared" si="48"/>
        <v>129.44</v>
      </c>
      <c r="H221">
        <f t="shared" si="43"/>
        <v>24.560000000000002</v>
      </c>
      <c r="I221">
        <f t="shared" si="44"/>
        <v>128.44</v>
      </c>
      <c r="J221">
        <f t="shared" si="45"/>
        <v>0.8405194805194806</v>
      </c>
      <c r="K221">
        <f t="shared" si="49"/>
        <v>0.8361538461538461</v>
      </c>
      <c r="L221" s="66">
        <f>MAX(M$69:M221)</f>
        <v>0.6112034818011267</v>
      </c>
      <c r="M221">
        <f t="shared" si="46"/>
        <v>0.6112034818011267</v>
      </c>
      <c r="N221">
        <f t="shared" si="50"/>
        <v>1</v>
      </c>
    </row>
    <row r="222" spans="1:14" ht="13.5">
      <c r="A222">
        <v>153</v>
      </c>
      <c r="B222">
        <f t="shared" si="47"/>
        <v>7.662549603324434E-20</v>
      </c>
      <c r="C222">
        <f>SUM(B$69:B221)</f>
        <v>3.9999999999999987</v>
      </c>
      <c r="D222">
        <f t="shared" si="51"/>
        <v>3.9999999999999987</v>
      </c>
      <c r="E222">
        <f t="shared" si="42"/>
        <v>6.407502067977378E-20</v>
      </c>
      <c r="F222">
        <f>SUM(E$69:E221)</f>
        <v>2.444813927204506</v>
      </c>
      <c r="G222">
        <f t="shared" si="48"/>
        <v>130.285</v>
      </c>
      <c r="H222">
        <f t="shared" si="43"/>
        <v>24.715000000000003</v>
      </c>
      <c r="I222">
        <f t="shared" si="44"/>
        <v>129.285</v>
      </c>
      <c r="J222">
        <f t="shared" si="45"/>
        <v>0.8405483870967742</v>
      </c>
      <c r="K222">
        <f t="shared" si="49"/>
        <v>0.8362101910828025</v>
      </c>
      <c r="L222" s="66">
        <f>MAX(M$69:M222)</f>
        <v>0.6112034818011267</v>
      </c>
      <c r="M222">
        <f t="shared" si="46"/>
        <v>0.6112034818011267</v>
      </c>
      <c r="N222">
        <f t="shared" si="50"/>
        <v>1</v>
      </c>
    </row>
    <row r="223" spans="1:14" ht="13.5">
      <c r="A223">
        <v>154</v>
      </c>
      <c r="B223">
        <f t="shared" si="47"/>
        <v>5.746912202493326E-20</v>
      </c>
      <c r="C223">
        <f>SUM(B$69:B222)</f>
        <v>3.9999999999999987</v>
      </c>
      <c r="D223">
        <f t="shared" si="51"/>
        <v>3.9999999999999987</v>
      </c>
      <c r="E223">
        <f t="shared" si="42"/>
        <v>4.805946261490146E-20</v>
      </c>
      <c r="F223">
        <f>SUM(E$69:E222)</f>
        <v>2.444813927204506</v>
      </c>
      <c r="G223">
        <f t="shared" si="48"/>
        <v>131.13</v>
      </c>
      <c r="H223">
        <f t="shared" si="43"/>
        <v>24.870000000000005</v>
      </c>
      <c r="I223">
        <f t="shared" si="44"/>
        <v>130.13</v>
      </c>
      <c r="J223">
        <f t="shared" si="45"/>
        <v>0.840576923076923</v>
      </c>
      <c r="K223">
        <f t="shared" si="49"/>
        <v>0.8362658227848101</v>
      </c>
      <c r="L223" s="66">
        <f>MAX(M$69:M223)</f>
        <v>0.6112034818011267</v>
      </c>
      <c r="M223">
        <f t="shared" si="46"/>
        <v>0.6112034818011267</v>
      </c>
      <c r="N223">
        <f t="shared" si="50"/>
        <v>1</v>
      </c>
    </row>
    <row r="224" spans="1:14" ht="13.5">
      <c r="A224">
        <v>155</v>
      </c>
      <c r="B224">
        <f t="shared" si="47"/>
        <v>4.3101841518699943E-20</v>
      </c>
      <c r="C224">
        <f>SUM(B$69:B223)</f>
        <v>3.9999999999999987</v>
      </c>
      <c r="D224">
        <f t="shared" si="51"/>
        <v>3.9999999999999987</v>
      </c>
      <c r="E224">
        <f t="shared" si="42"/>
        <v>3.604696462861085E-20</v>
      </c>
      <c r="F224">
        <f>SUM(E$69:E223)</f>
        <v>2.444813927204506</v>
      </c>
      <c r="G224">
        <f t="shared" si="48"/>
        <v>131.975</v>
      </c>
      <c r="H224">
        <f t="shared" si="43"/>
        <v>25.025000000000006</v>
      </c>
      <c r="I224">
        <f t="shared" si="44"/>
        <v>130.975</v>
      </c>
      <c r="J224">
        <f t="shared" si="45"/>
        <v>0.8406050955414013</v>
      </c>
      <c r="K224">
        <f t="shared" si="49"/>
        <v>0.8363207547169811</v>
      </c>
      <c r="L224" s="66">
        <f>MAX(M$69:M224)</f>
        <v>0.6112034818011267</v>
      </c>
      <c r="M224">
        <f t="shared" si="46"/>
        <v>0.6112034818011267</v>
      </c>
      <c r="N224">
        <f t="shared" si="50"/>
        <v>1</v>
      </c>
    </row>
    <row r="225" spans="1:14" ht="13.5">
      <c r="A225">
        <v>156</v>
      </c>
      <c r="B225">
        <f t="shared" si="47"/>
        <v>3.2326381139024956E-20</v>
      </c>
      <c r="C225">
        <f>SUM(B$69:B224)</f>
        <v>3.9999999999999987</v>
      </c>
      <c r="D225">
        <f t="shared" si="51"/>
        <v>3.9999999999999987</v>
      </c>
      <c r="E225">
        <f t="shared" si="42"/>
        <v>2.7036977025151996E-20</v>
      </c>
      <c r="F225">
        <f>SUM(E$69:E224)</f>
        <v>2.444813927204506</v>
      </c>
      <c r="G225">
        <f t="shared" si="48"/>
        <v>132.82</v>
      </c>
      <c r="H225">
        <f t="shared" si="43"/>
        <v>25.180000000000007</v>
      </c>
      <c r="I225">
        <f t="shared" si="44"/>
        <v>131.82</v>
      </c>
      <c r="J225">
        <f t="shared" si="45"/>
        <v>0.840632911392405</v>
      </c>
      <c r="K225">
        <f t="shared" si="49"/>
        <v>0.836375</v>
      </c>
      <c r="L225" s="66">
        <f>MAX(M$69:M225)</f>
        <v>0.6112034818011267</v>
      </c>
      <c r="M225">
        <f t="shared" si="46"/>
        <v>0.6112034818011267</v>
      </c>
      <c r="N225">
        <f t="shared" si="50"/>
        <v>1</v>
      </c>
    </row>
    <row r="226" spans="1:14" ht="13.5">
      <c r="A226">
        <v>157</v>
      </c>
      <c r="B226">
        <f t="shared" si="47"/>
        <v>2.4244785854268718E-20</v>
      </c>
      <c r="C226">
        <f>SUM(B$69:B225)</f>
        <v>3.9999999999999987</v>
      </c>
      <c r="D226">
        <f t="shared" si="51"/>
        <v>3.9999999999999987</v>
      </c>
      <c r="E226">
        <f t="shared" si="42"/>
        <v>2.027903159667762E-20</v>
      </c>
      <c r="F226">
        <f>SUM(E$69:E225)</f>
        <v>2.444813927204506</v>
      </c>
      <c r="G226">
        <f t="shared" si="48"/>
        <v>133.665</v>
      </c>
      <c r="H226">
        <f t="shared" si="43"/>
        <v>25.335000000000008</v>
      </c>
      <c r="I226">
        <f t="shared" si="44"/>
        <v>132.665</v>
      </c>
      <c r="J226">
        <f t="shared" si="45"/>
        <v>0.8406603773584905</v>
      </c>
      <c r="K226">
        <f t="shared" si="49"/>
        <v>0.8364285714285714</v>
      </c>
      <c r="L226" s="66">
        <f>MAX(M$69:M226)</f>
        <v>0.6112034818011267</v>
      </c>
      <c r="M226">
        <f t="shared" si="46"/>
        <v>0.6112034818011267</v>
      </c>
      <c r="N226">
        <f t="shared" si="50"/>
        <v>1</v>
      </c>
    </row>
  </sheetData>
  <conditionalFormatting sqref="Q69:T226">
    <cfRule type="expression" priority="1" dxfId="1" stopIfTrue="1">
      <formula>$T69=1</formula>
    </cfRule>
  </conditionalFormatting>
  <conditionalFormatting sqref="P69:P226">
    <cfRule type="expression" priority="2" dxfId="1" stopIfTrue="1">
      <formula>$P69=1</formula>
    </cfRule>
  </conditionalFormatting>
  <conditionalFormatting sqref="O69:O226">
    <cfRule type="expression" priority="3" dxfId="1" stopIfTrue="1">
      <formula>$O69=1</formula>
    </cfRule>
  </conditionalFormatting>
  <conditionalFormatting sqref="A69:N226">
    <cfRule type="expression" priority="4" dxfId="1" stopIfTrue="1">
      <formula>$N69=1</formula>
    </cfRule>
  </conditionalFormatting>
  <printOptions/>
  <pageMargins left="0.75" right="0.75" top="1" bottom="1" header="0.512" footer="0.512"/>
  <pageSetup orientation="portrait" paperSize="9" r:id="rId6"/>
  <drawing r:id="rId5"/>
  <legacyDrawing r:id="rId4"/>
  <oleObjects>
    <oleObject progId="Equation.3" shapeId="13132" r:id="rId2"/>
    <oleObject progId="Equation.3" shapeId="491602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J30" sqref="J30"/>
    </sheetView>
  </sheetViews>
  <sheetFormatPr defaultColWidth="9.00390625" defaultRowHeight="13.5"/>
  <cols>
    <col min="1" max="1" width="10.50390625" style="0" bestFit="1" customWidth="1"/>
  </cols>
  <sheetData>
    <row r="1" spans="1:2" ht="13.5">
      <c r="A1" s="1">
        <v>37083</v>
      </c>
      <c r="B1" s="15" t="s">
        <v>188</v>
      </c>
    </row>
    <row r="2" ht="13.5">
      <c r="B2" t="s">
        <v>192</v>
      </c>
    </row>
    <row r="3" spans="1:2" ht="13.5">
      <c r="A3" t="s">
        <v>189</v>
      </c>
      <c r="B3" s="15" t="s">
        <v>231</v>
      </c>
    </row>
    <row r="4" spans="1:2" ht="13.5">
      <c r="A4" s="15" t="s">
        <v>232</v>
      </c>
      <c r="B4" t="s">
        <v>215</v>
      </c>
    </row>
    <row r="5" spans="1:2" ht="13.5">
      <c r="A5" s="15" t="s">
        <v>233</v>
      </c>
      <c r="B5" t="s">
        <v>227</v>
      </c>
    </row>
    <row r="6" ht="13.5">
      <c r="B6" t="s">
        <v>226</v>
      </c>
    </row>
    <row r="7" ht="13.5">
      <c r="B7" t="s">
        <v>228</v>
      </c>
    </row>
    <row r="8" ht="13.5">
      <c r="B8" t="s">
        <v>190</v>
      </c>
    </row>
    <row r="9" ht="13.5">
      <c r="B9" t="s">
        <v>210</v>
      </c>
    </row>
    <row r="10" ht="13.5">
      <c r="B10" t="s">
        <v>229</v>
      </c>
    </row>
    <row r="11" ht="13.5">
      <c r="B11" s="15" t="s">
        <v>230</v>
      </c>
    </row>
    <row r="12" ht="13.5">
      <c r="A12" t="s">
        <v>191</v>
      </c>
    </row>
    <row r="23" ht="13.5">
      <c r="I23" t="s">
        <v>207</v>
      </c>
    </row>
    <row r="24" spans="9:12" ht="13.5">
      <c r="I24" t="s">
        <v>193</v>
      </c>
      <c r="J24" t="s">
        <v>194</v>
      </c>
      <c r="K24" t="s">
        <v>195</v>
      </c>
      <c r="L24" t="s">
        <v>202</v>
      </c>
    </row>
    <row r="25" spans="9:12" ht="13.5">
      <c r="I25">
        <v>0</v>
      </c>
      <c r="J25" t="s">
        <v>197</v>
      </c>
      <c r="K25" t="s">
        <v>198</v>
      </c>
      <c r="L25" t="s">
        <v>205</v>
      </c>
    </row>
    <row r="26" spans="9:12" ht="13.5">
      <c r="I26">
        <v>1</v>
      </c>
      <c r="J26" t="s">
        <v>199</v>
      </c>
      <c r="K26" t="s">
        <v>201</v>
      </c>
      <c r="L26" t="s">
        <v>195</v>
      </c>
    </row>
    <row r="27" spans="9:12" ht="13.5">
      <c r="I27">
        <v>2</v>
      </c>
      <c r="J27" t="s">
        <v>196</v>
      </c>
      <c r="K27" t="s">
        <v>201</v>
      </c>
      <c r="L27" t="s">
        <v>206</v>
      </c>
    </row>
    <row r="28" spans="9:12" ht="13.5">
      <c r="I28">
        <v>3</v>
      </c>
      <c r="J28" t="s">
        <v>200</v>
      </c>
      <c r="K28" t="s">
        <v>201</v>
      </c>
      <c r="L28" t="s">
        <v>194</v>
      </c>
    </row>
    <row r="30" ht="13.5">
      <c r="I30" t="s">
        <v>203</v>
      </c>
    </row>
    <row r="31" ht="13.5">
      <c r="I31" t="s">
        <v>204</v>
      </c>
    </row>
    <row r="32" ht="13.5">
      <c r="I32" t="s">
        <v>209</v>
      </c>
    </row>
    <row r="33" ht="13.5">
      <c r="I33" t="s">
        <v>208</v>
      </c>
    </row>
    <row r="34" ht="13.5">
      <c r="I34" t="s">
        <v>211</v>
      </c>
    </row>
    <row r="35" ht="13.5">
      <c r="I35" t="s">
        <v>214</v>
      </c>
    </row>
    <row r="36" ht="13.5">
      <c r="I36" t="s">
        <v>213</v>
      </c>
    </row>
    <row r="37" ht="13.5">
      <c r="I37" t="s">
        <v>212</v>
      </c>
    </row>
    <row r="38" ht="13.5">
      <c r="A38" t="s">
        <v>217</v>
      </c>
    </row>
    <row r="39" spans="1:2" ht="13.5">
      <c r="A39" t="s">
        <v>225</v>
      </c>
      <c r="B39" t="s">
        <v>218</v>
      </c>
    </row>
    <row r="40" ht="13.5">
      <c r="B40" t="s">
        <v>216</v>
      </c>
    </row>
    <row r="41" ht="13.5">
      <c r="B41" t="s">
        <v>221</v>
      </c>
    </row>
    <row r="42" ht="13.5">
      <c r="B42" t="s">
        <v>222</v>
      </c>
    </row>
    <row r="43" ht="13.5">
      <c r="B43" t="s">
        <v>219</v>
      </c>
    </row>
    <row r="44" ht="13.5">
      <c r="B44" t="s">
        <v>220</v>
      </c>
    </row>
    <row r="45" ht="13.5">
      <c r="B45" t="s">
        <v>223</v>
      </c>
    </row>
    <row r="46" ht="13.5">
      <c r="B46" t="s">
        <v>224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 Gakuen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Kenryo INDO</dc:creator>
  <cp:keywords/>
  <dc:description/>
  <cp:lastModifiedBy>Kenryo INDO</cp:lastModifiedBy>
  <dcterms:created xsi:type="dcterms:W3CDTF">2001-06-21T12:20:24Z</dcterms:created>
  <dcterms:modified xsi:type="dcterms:W3CDTF">2002-11-06T01:44:07Z</dcterms:modified>
  <cp:category/>
  <cp:version/>
  <cp:contentType/>
  <cp:contentStatus/>
</cp:coreProperties>
</file>